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esktop\OneDrive_1_21-07-2025\"/>
    </mc:Choice>
  </mc:AlternateContent>
  <xr:revisionPtr revIDLastSave="0" documentId="13_ncr:1_{8BCDCD37-C340-403B-84CA-A87DC51C4D67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Z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X55" i="6"/>
  <c r="Z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Z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Z66" i="6" s="1"/>
  <c r="Y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Z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Y74" i="6" s="1"/>
  <c r="W74" i="6"/>
  <c r="X74" i="6"/>
  <c r="Z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 s="1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 s="1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Z81" i="6" s="1"/>
  <c r="W81" i="6"/>
  <c r="X81" i="6"/>
  <c r="Y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Z98" i="6" s="1"/>
  <c r="Y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 s="1"/>
  <c r="X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Z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Z103" i="6" s="1"/>
  <c r="W103" i="6"/>
  <c r="X103" i="6"/>
  <c r="Y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Y106" i="6" s="1"/>
  <c r="W106" i="6"/>
  <c r="X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Z113" i="6" s="1"/>
  <c r="W113" i="6"/>
  <c r="X113" i="6"/>
  <c r="Y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Z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Z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Z135" i="6" s="1"/>
  <c r="W135" i="6"/>
  <c r="X135" i="6"/>
  <c r="Y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Y138" i="6" s="1"/>
  <c r="W138" i="6"/>
  <c r="X138" i="6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Z145" i="6" s="1"/>
  <c r="W145" i="6"/>
  <c r="X145" i="6"/>
  <c r="Y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 s="1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 s="1"/>
  <c r="X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Y157" i="6" s="1"/>
  <c r="W157" i="6"/>
  <c r="X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Y160" i="6" s="1"/>
  <c r="W160" i="6"/>
  <c r="X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Y161" i="6" s="1"/>
  <c r="W161" i="6"/>
  <c r="X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Z167" i="6" s="1"/>
  <c r="W167" i="6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Y170" i="6" s="1"/>
  <c r="W170" i="6"/>
  <c r="X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Z173" i="6" s="1"/>
  <c r="W173" i="6"/>
  <c r="X173" i="6"/>
  <c r="Y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Z176" i="6" s="1"/>
  <c r="X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Z177" i="6" s="1"/>
  <c r="W177" i="6"/>
  <c r="X177" i="6"/>
  <c r="Y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Z189" i="6" s="1"/>
  <c r="W189" i="6"/>
  <c r="X189" i="6"/>
  <c r="Y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Z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Z193" i="6" s="1"/>
  <c r="W193" i="6"/>
  <c r="X193" i="6"/>
  <c r="Y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 s="1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Z195" i="6" s="1"/>
  <c r="X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Z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Z199" i="6" s="1"/>
  <c r="W199" i="6"/>
  <c r="X199" i="6"/>
  <c r="Y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Y202" i="6" s="1"/>
  <c r="W202" i="6"/>
  <c r="X202" i="6"/>
  <c r="Z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Z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Z209" i="6" s="1"/>
  <c r="W209" i="6"/>
  <c r="X209" i="6"/>
  <c r="Y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 s="1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Y220" i="6" s="1"/>
  <c r="X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Y221" i="6" s="1"/>
  <c r="W221" i="6"/>
  <c r="X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Y224" i="6" s="1"/>
  <c r="W224" i="6"/>
  <c r="X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Y225" i="6" s="1"/>
  <c r="W225" i="6"/>
  <c r="X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Y230" i="6" s="1"/>
  <c r="W230" i="6"/>
  <c r="X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Z231" i="6" s="1"/>
  <c r="W231" i="6"/>
  <c r="X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Y234" i="6" s="1"/>
  <c r="W234" i="6"/>
  <c r="X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Z237" i="6" s="1"/>
  <c r="W237" i="6"/>
  <c r="X237" i="6"/>
  <c r="Y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Z240" i="6" s="1"/>
  <c r="X240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Z241" i="6" s="1"/>
  <c r="W241" i="6"/>
  <c r="X241" i="6"/>
  <c r="Y241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Z253" i="6" s="1"/>
  <c r="W253" i="6"/>
  <c r="X253" i="6"/>
  <c r="Y253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Y254" i="6" s="1"/>
  <c r="W254" i="6"/>
  <c r="X254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Z256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Z257" i="6" s="1"/>
  <c r="W257" i="6"/>
  <c r="X257" i="6"/>
  <c r="Y257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 s="1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Z259" i="6" s="1"/>
  <c r="X259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Z262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Z263" i="6" s="1"/>
  <c r="W263" i="6"/>
  <c r="X263" i="6"/>
  <c r="Y263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Y266" i="6" s="1"/>
  <c r="W266" i="6"/>
  <c r="X266" i="6"/>
  <c r="Z266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Z272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Z273" i="6" s="1"/>
  <c r="W273" i="6"/>
  <c r="X273" i="6"/>
  <c r="Y273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Z288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Z294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Z295" i="6" s="1"/>
  <c r="W295" i="6"/>
  <c r="X295" i="6"/>
  <c r="Y295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Y298" i="6" s="1"/>
  <c r="W298" i="6"/>
  <c r="X298" i="6"/>
  <c r="Z298" i="6"/>
  <c r="J299" i="6"/>
  <c r="K299" i="6"/>
  <c r="L299" i="6"/>
  <c r="M299" i="6"/>
  <c r="N299" i="6"/>
  <c r="O299" i="6"/>
  <c r="P299" i="6"/>
  <c r="Q299" i="6"/>
  <c r="R299" i="6"/>
  <c r="S299" i="6"/>
  <c r="T299" i="6"/>
  <c r="U299" i="6"/>
  <c r="V299" i="6"/>
  <c r="W299" i="6"/>
  <c r="X299" i="6"/>
  <c r="Y299" i="6"/>
  <c r="Z299" i="6"/>
  <c r="J300" i="6"/>
  <c r="K300" i="6"/>
  <c r="L300" i="6"/>
  <c r="M300" i="6"/>
  <c r="N300" i="6"/>
  <c r="O300" i="6"/>
  <c r="P300" i="6"/>
  <c r="Q300" i="6"/>
  <c r="R300" i="6"/>
  <c r="S300" i="6"/>
  <c r="T300" i="6"/>
  <c r="U300" i="6"/>
  <c r="V300" i="6"/>
  <c r="W300" i="6"/>
  <c r="X300" i="6"/>
  <c r="Y300" i="6"/>
  <c r="Z300" i="6"/>
  <c r="J301" i="6"/>
  <c r="K301" i="6"/>
  <c r="L301" i="6"/>
  <c r="M301" i="6"/>
  <c r="N301" i="6"/>
  <c r="O301" i="6"/>
  <c r="P301" i="6"/>
  <c r="Q301" i="6"/>
  <c r="R301" i="6"/>
  <c r="S301" i="6"/>
  <c r="T301" i="6"/>
  <c r="U301" i="6"/>
  <c r="V301" i="6"/>
  <c r="W301" i="6"/>
  <c r="X301" i="6"/>
  <c r="Y301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J303" i="6"/>
  <c r="K303" i="6"/>
  <c r="L303" i="6"/>
  <c r="M303" i="6"/>
  <c r="N303" i="6"/>
  <c r="O303" i="6"/>
  <c r="P303" i="6"/>
  <c r="Q303" i="6"/>
  <c r="R303" i="6"/>
  <c r="S303" i="6"/>
  <c r="T303" i="6"/>
  <c r="U303" i="6"/>
  <c r="V303" i="6"/>
  <c r="W303" i="6"/>
  <c r="X303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Z304" i="6"/>
  <c r="J305" i="6"/>
  <c r="K305" i="6"/>
  <c r="L305" i="6"/>
  <c r="M305" i="6"/>
  <c r="N305" i="6"/>
  <c r="O305" i="6"/>
  <c r="P305" i="6"/>
  <c r="Q305" i="6"/>
  <c r="R305" i="6"/>
  <c r="S305" i="6"/>
  <c r="T305" i="6"/>
  <c r="U305" i="6"/>
  <c r="V305" i="6"/>
  <c r="Z305" i="6" s="1"/>
  <c r="W305" i="6"/>
  <c r="X305" i="6"/>
  <c r="Y305" i="6"/>
  <c r="J306" i="6"/>
  <c r="K306" i="6"/>
  <c r="L306" i="6"/>
  <c r="M306" i="6"/>
  <c r="N306" i="6"/>
  <c r="O306" i="6"/>
  <c r="P306" i="6"/>
  <c r="Q306" i="6"/>
  <c r="R306" i="6"/>
  <c r="S306" i="6"/>
  <c r="T306" i="6"/>
  <c r="U306" i="6"/>
  <c r="V306" i="6"/>
  <c r="W306" i="6"/>
  <c r="X306" i="6"/>
  <c r="J307" i="6"/>
  <c r="K307" i="6"/>
  <c r="L307" i="6"/>
  <c r="M307" i="6"/>
  <c r="N307" i="6"/>
  <c r="O307" i="6"/>
  <c r="P307" i="6"/>
  <c r="Q307" i="6"/>
  <c r="R307" i="6"/>
  <c r="S307" i="6"/>
  <c r="T307" i="6"/>
  <c r="U307" i="6"/>
  <c r="V307" i="6"/>
  <c r="W307" i="6"/>
  <c r="X307" i="6"/>
  <c r="J308" i="6"/>
  <c r="K308" i="6"/>
  <c r="L308" i="6"/>
  <c r="M308" i="6"/>
  <c r="N308" i="6"/>
  <c r="O308" i="6"/>
  <c r="P308" i="6"/>
  <c r="Q308" i="6"/>
  <c r="R308" i="6"/>
  <c r="S308" i="6"/>
  <c r="T308" i="6"/>
  <c r="U308" i="6"/>
  <c r="V308" i="6"/>
  <c r="W308" i="6"/>
  <c r="X308" i="6"/>
  <c r="J309" i="6"/>
  <c r="K309" i="6"/>
  <c r="L309" i="6"/>
  <c r="M309" i="6"/>
  <c r="N309" i="6"/>
  <c r="O309" i="6"/>
  <c r="P309" i="6"/>
  <c r="Q309" i="6"/>
  <c r="R309" i="6"/>
  <c r="S309" i="6"/>
  <c r="T309" i="6"/>
  <c r="U309" i="6"/>
  <c r="V309" i="6"/>
  <c r="W309" i="6"/>
  <c r="X309" i="6"/>
  <c r="J310" i="6"/>
  <c r="K310" i="6"/>
  <c r="L310" i="6"/>
  <c r="M310" i="6"/>
  <c r="N310" i="6"/>
  <c r="O310" i="6"/>
  <c r="P310" i="6"/>
  <c r="Q310" i="6"/>
  <c r="R310" i="6"/>
  <c r="S310" i="6"/>
  <c r="T310" i="6"/>
  <c r="U310" i="6"/>
  <c r="V310" i="6"/>
  <c r="W310" i="6"/>
  <c r="X310" i="6"/>
  <c r="J311" i="6"/>
  <c r="K311" i="6"/>
  <c r="L311" i="6"/>
  <c r="M311" i="6"/>
  <c r="N311" i="6"/>
  <c r="O311" i="6"/>
  <c r="P311" i="6"/>
  <c r="Q311" i="6"/>
  <c r="R311" i="6"/>
  <c r="S311" i="6"/>
  <c r="T311" i="6"/>
  <c r="U311" i="6"/>
  <c r="V311" i="6"/>
  <c r="W311" i="6"/>
  <c r="X311" i="6"/>
  <c r="J312" i="6"/>
  <c r="K312" i="6"/>
  <c r="L312" i="6"/>
  <c r="M312" i="6"/>
  <c r="N312" i="6"/>
  <c r="O312" i="6"/>
  <c r="P312" i="6"/>
  <c r="Q312" i="6"/>
  <c r="R312" i="6"/>
  <c r="S312" i="6"/>
  <c r="T312" i="6"/>
  <c r="U312" i="6"/>
  <c r="V312" i="6"/>
  <c r="W312" i="6"/>
  <c r="X312" i="6"/>
  <c r="Y312" i="6"/>
  <c r="Z312" i="6"/>
  <c r="J313" i="6"/>
  <c r="K313" i="6"/>
  <c r="L313" i="6"/>
  <c r="M313" i="6"/>
  <c r="N313" i="6"/>
  <c r="O313" i="6"/>
  <c r="P313" i="6"/>
  <c r="Q313" i="6"/>
  <c r="R313" i="6"/>
  <c r="S313" i="6"/>
  <c r="T313" i="6"/>
  <c r="U313" i="6"/>
  <c r="V313" i="6"/>
  <c r="W313" i="6"/>
  <c r="X313" i="6"/>
  <c r="Y313" i="6"/>
  <c r="Z313" i="6"/>
  <c r="J314" i="6"/>
  <c r="K314" i="6"/>
  <c r="L314" i="6"/>
  <c r="M314" i="6"/>
  <c r="N314" i="6"/>
  <c r="O314" i="6"/>
  <c r="P314" i="6"/>
  <c r="Q314" i="6"/>
  <c r="R314" i="6"/>
  <c r="S314" i="6"/>
  <c r="T314" i="6"/>
  <c r="U314" i="6"/>
  <c r="V314" i="6"/>
  <c r="W314" i="6"/>
  <c r="X314" i="6"/>
  <c r="Y314" i="6"/>
  <c r="Z314" i="6"/>
  <c r="J315" i="6"/>
  <c r="K315" i="6"/>
  <c r="L315" i="6"/>
  <c r="M315" i="6"/>
  <c r="N315" i="6"/>
  <c r="O315" i="6"/>
  <c r="P315" i="6"/>
  <c r="Q315" i="6"/>
  <c r="R315" i="6"/>
  <c r="S315" i="6"/>
  <c r="T315" i="6"/>
  <c r="U315" i="6"/>
  <c r="V315" i="6"/>
  <c r="W315" i="6"/>
  <c r="X315" i="6"/>
  <c r="Y315" i="6"/>
  <c r="Z315" i="6"/>
  <c r="J316" i="6"/>
  <c r="K316" i="6"/>
  <c r="L316" i="6"/>
  <c r="M316" i="6"/>
  <c r="N316" i="6"/>
  <c r="O316" i="6"/>
  <c r="P316" i="6"/>
  <c r="Q316" i="6"/>
  <c r="R316" i="6"/>
  <c r="S316" i="6"/>
  <c r="T316" i="6"/>
  <c r="U316" i="6"/>
  <c r="V316" i="6"/>
  <c r="W316" i="6"/>
  <c r="X316" i="6"/>
  <c r="Y316" i="6"/>
  <c r="Z316" i="6"/>
  <c r="J317" i="6"/>
  <c r="K317" i="6"/>
  <c r="L317" i="6"/>
  <c r="M317" i="6"/>
  <c r="N317" i="6"/>
  <c r="O317" i="6"/>
  <c r="P317" i="6"/>
  <c r="Q317" i="6"/>
  <c r="R317" i="6"/>
  <c r="S317" i="6"/>
  <c r="T317" i="6"/>
  <c r="U317" i="6"/>
  <c r="V317" i="6"/>
  <c r="W317" i="6"/>
  <c r="X317" i="6"/>
  <c r="Y317" i="6"/>
  <c r="Z317" i="6"/>
  <c r="J318" i="6"/>
  <c r="K318" i="6"/>
  <c r="L318" i="6"/>
  <c r="M318" i="6"/>
  <c r="N318" i="6"/>
  <c r="O318" i="6"/>
  <c r="P318" i="6"/>
  <c r="Q318" i="6"/>
  <c r="R318" i="6"/>
  <c r="S318" i="6"/>
  <c r="T318" i="6"/>
  <c r="U318" i="6"/>
  <c r="V318" i="6"/>
  <c r="W318" i="6"/>
  <c r="X318" i="6"/>
  <c r="Y318" i="6"/>
  <c r="J319" i="6"/>
  <c r="K319" i="6"/>
  <c r="L319" i="6"/>
  <c r="M319" i="6"/>
  <c r="N319" i="6"/>
  <c r="O319" i="6"/>
  <c r="P319" i="6"/>
  <c r="Q319" i="6"/>
  <c r="R319" i="6"/>
  <c r="S319" i="6"/>
  <c r="T319" i="6"/>
  <c r="U319" i="6"/>
  <c r="V319" i="6"/>
  <c r="W319" i="6"/>
  <c r="X319" i="6"/>
  <c r="Z319" i="6"/>
  <c r="J320" i="6"/>
  <c r="K320" i="6"/>
  <c r="L320" i="6"/>
  <c r="M320" i="6"/>
  <c r="N320" i="6"/>
  <c r="O320" i="6"/>
  <c r="P320" i="6"/>
  <c r="Q320" i="6"/>
  <c r="R320" i="6"/>
  <c r="S320" i="6"/>
  <c r="T320" i="6"/>
  <c r="U320" i="6"/>
  <c r="V320" i="6"/>
  <c r="W320" i="6"/>
  <c r="X320" i="6"/>
  <c r="Y320" i="6"/>
  <c r="Z320" i="6"/>
  <c r="J321" i="6"/>
  <c r="K321" i="6"/>
  <c r="L321" i="6"/>
  <c r="M321" i="6"/>
  <c r="N321" i="6"/>
  <c r="O321" i="6"/>
  <c r="P321" i="6"/>
  <c r="Q321" i="6"/>
  <c r="R321" i="6"/>
  <c r="S321" i="6"/>
  <c r="T321" i="6"/>
  <c r="U321" i="6"/>
  <c r="V321" i="6"/>
  <c r="W321" i="6"/>
  <c r="X321" i="6"/>
  <c r="Y321" i="6"/>
  <c r="J322" i="6"/>
  <c r="K322" i="6"/>
  <c r="L322" i="6"/>
  <c r="M322" i="6"/>
  <c r="N322" i="6"/>
  <c r="O322" i="6"/>
  <c r="P322" i="6"/>
  <c r="Q322" i="6"/>
  <c r="R322" i="6"/>
  <c r="S322" i="6"/>
  <c r="T322" i="6"/>
  <c r="U322" i="6"/>
  <c r="V322" i="6"/>
  <c r="W322" i="6"/>
  <c r="X322" i="6"/>
  <c r="J323" i="6"/>
  <c r="K323" i="6"/>
  <c r="L323" i="6"/>
  <c r="M323" i="6"/>
  <c r="N323" i="6"/>
  <c r="O323" i="6"/>
  <c r="P323" i="6"/>
  <c r="Q323" i="6"/>
  <c r="R323" i="6"/>
  <c r="S323" i="6"/>
  <c r="T323" i="6"/>
  <c r="U323" i="6"/>
  <c r="V323" i="6"/>
  <c r="W323" i="6"/>
  <c r="X323" i="6"/>
  <c r="Z323" i="6"/>
  <c r="J324" i="6"/>
  <c r="K324" i="6"/>
  <c r="L324" i="6"/>
  <c r="M324" i="6"/>
  <c r="N324" i="6"/>
  <c r="O324" i="6"/>
  <c r="P324" i="6"/>
  <c r="Q324" i="6"/>
  <c r="R324" i="6"/>
  <c r="S324" i="6"/>
  <c r="T324" i="6"/>
  <c r="U324" i="6"/>
  <c r="V324" i="6"/>
  <c r="Z324" i="6" s="1"/>
  <c r="W324" i="6"/>
  <c r="X324" i="6"/>
  <c r="Y324" i="6"/>
  <c r="J325" i="6"/>
  <c r="K325" i="6"/>
  <c r="L325" i="6"/>
  <c r="M325" i="6"/>
  <c r="N325" i="6"/>
  <c r="O325" i="6"/>
  <c r="P325" i="6"/>
  <c r="Q325" i="6"/>
  <c r="R325" i="6"/>
  <c r="S325" i="6"/>
  <c r="T325" i="6"/>
  <c r="U325" i="6"/>
  <c r="V325" i="6"/>
  <c r="W325" i="6"/>
  <c r="X325" i="6"/>
  <c r="J326" i="6"/>
  <c r="K326" i="6"/>
  <c r="L326" i="6"/>
  <c r="M326" i="6"/>
  <c r="N326" i="6"/>
  <c r="O326" i="6"/>
  <c r="P326" i="6"/>
  <c r="Q326" i="6"/>
  <c r="R326" i="6"/>
  <c r="S326" i="6"/>
  <c r="T326" i="6"/>
  <c r="U326" i="6"/>
  <c r="V326" i="6"/>
  <c r="W326" i="6"/>
  <c r="X326" i="6"/>
  <c r="J327" i="6"/>
  <c r="K327" i="6"/>
  <c r="L327" i="6"/>
  <c r="M327" i="6"/>
  <c r="N327" i="6"/>
  <c r="O327" i="6"/>
  <c r="P327" i="6"/>
  <c r="Q327" i="6"/>
  <c r="R327" i="6"/>
  <c r="S327" i="6"/>
  <c r="T327" i="6"/>
  <c r="U327" i="6"/>
  <c r="V327" i="6"/>
  <c r="Y327" i="6" s="1"/>
  <c r="W327" i="6"/>
  <c r="X327" i="6"/>
  <c r="J328" i="6"/>
  <c r="K328" i="6"/>
  <c r="L328" i="6"/>
  <c r="M328" i="6"/>
  <c r="N328" i="6"/>
  <c r="O328" i="6"/>
  <c r="P328" i="6"/>
  <c r="Q328" i="6"/>
  <c r="R328" i="6"/>
  <c r="S328" i="6"/>
  <c r="T328" i="6"/>
  <c r="U328" i="6"/>
  <c r="V328" i="6"/>
  <c r="W328" i="6"/>
  <c r="X328" i="6"/>
  <c r="Y328" i="6"/>
  <c r="Z328" i="6"/>
  <c r="J329" i="6"/>
  <c r="K329" i="6"/>
  <c r="L329" i="6"/>
  <c r="M329" i="6"/>
  <c r="N329" i="6"/>
  <c r="O329" i="6"/>
  <c r="P329" i="6"/>
  <c r="Q329" i="6"/>
  <c r="R329" i="6"/>
  <c r="S329" i="6"/>
  <c r="T329" i="6"/>
  <c r="U329" i="6"/>
  <c r="V329" i="6"/>
  <c r="W329" i="6"/>
  <c r="X329" i="6"/>
  <c r="Y329" i="6"/>
  <c r="Z329" i="6"/>
  <c r="J330" i="6"/>
  <c r="K330" i="6"/>
  <c r="L330" i="6"/>
  <c r="M330" i="6"/>
  <c r="N330" i="6"/>
  <c r="O330" i="6"/>
  <c r="P330" i="6"/>
  <c r="Q330" i="6"/>
  <c r="R330" i="6"/>
  <c r="S330" i="6"/>
  <c r="T330" i="6"/>
  <c r="U330" i="6"/>
  <c r="V330" i="6"/>
  <c r="W330" i="6"/>
  <c r="X330" i="6"/>
  <c r="Y330" i="6"/>
  <c r="Z330" i="6"/>
  <c r="J331" i="6"/>
  <c r="K331" i="6"/>
  <c r="L331" i="6"/>
  <c r="M331" i="6"/>
  <c r="N331" i="6"/>
  <c r="O331" i="6"/>
  <c r="P331" i="6"/>
  <c r="Q331" i="6"/>
  <c r="R331" i="6"/>
  <c r="S331" i="6"/>
  <c r="T331" i="6"/>
  <c r="U331" i="6"/>
  <c r="V331" i="6"/>
  <c r="W331" i="6"/>
  <c r="X331" i="6"/>
  <c r="Y331" i="6"/>
  <c r="J332" i="6"/>
  <c r="K332" i="6"/>
  <c r="L332" i="6"/>
  <c r="M332" i="6"/>
  <c r="N332" i="6"/>
  <c r="O332" i="6"/>
  <c r="P332" i="6"/>
  <c r="Q332" i="6"/>
  <c r="R332" i="6"/>
  <c r="S332" i="6"/>
  <c r="T332" i="6"/>
  <c r="U332" i="6"/>
  <c r="V332" i="6"/>
  <c r="W332" i="6"/>
  <c r="X332" i="6"/>
  <c r="J333" i="6"/>
  <c r="K333" i="6"/>
  <c r="L333" i="6"/>
  <c r="M333" i="6"/>
  <c r="N333" i="6"/>
  <c r="O333" i="6"/>
  <c r="P333" i="6"/>
  <c r="Q333" i="6"/>
  <c r="R333" i="6"/>
  <c r="S333" i="6"/>
  <c r="T333" i="6"/>
  <c r="U333" i="6"/>
  <c r="V333" i="6"/>
  <c r="W333" i="6"/>
  <c r="X333" i="6"/>
  <c r="J334" i="6"/>
  <c r="K334" i="6"/>
  <c r="L334" i="6"/>
  <c r="M334" i="6"/>
  <c r="N334" i="6"/>
  <c r="O334" i="6"/>
  <c r="P334" i="6"/>
  <c r="Q334" i="6"/>
  <c r="R334" i="6"/>
  <c r="S334" i="6"/>
  <c r="T334" i="6"/>
  <c r="U334" i="6"/>
  <c r="V334" i="6"/>
  <c r="W334" i="6"/>
  <c r="X334" i="6"/>
  <c r="J335" i="6"/>
  <c r="K335" i="6"/>
  <c r="L335" i="6"/>
  <c r="M335" i="6"/>
  <c r="N335" i="6"/>
  <c r="O335" i="6"/>
  <c r="P335" i="6"/>
  <c r="Q335" i="6"/>
  <c r="R335" i="6"/>
  <c r="S335" i="6"/>
  <c r="T335" i="6"/>
  <c r="U335" i="6"/>
  <c r="V335" i="6"/>
  <c r="W335" i="6"/>
  <c r="X335" i="6"/>
  <c r="J336" i="6"/>
  <c r="K336" i="6"/>
  <c r="L336" i="6"/>
  <c r="M336" i="6"/>
  <c r="N336" i="6"/>
  <c r="O336" i="6"/>
  <c r="P336" i="6"/>
  <c r="Q336" i="6"/>
  <c r="R336" i="6"/>
  <c r="S336" i="6"/>
  <c r="T336" i="6"/>
  <c r="U336" i="6"/>
  <c r="V336" i="6"/>
  <c r="Y336" i="6" s="1"/>
  <c r="W336" i="6"/>
  <c r="X336" i="6"/>
  <c r="J337" i="6"/>
  <c r="K337" i="6"/>
  <c r="L337" i="6"/>
  <c r="M337" i="6"/>
  <c r="N337" i="6"/>
  <c r="O337" i="6"/>
  <c r="P337" i="6"/>
  <c r="Q337" i="6"/>
  <c r="R337" i="6"/>
  <c r="S337" i="6"/>
  <c r="T337" i="6"/>
  <c r="U337" i="6"/>
  <c r="V337" i="6"/>
  <c r="W337" i="6"/>
  <c r="X337" i="6"/>
  <c r="Y337" i="6"/>
  <c r="Z337" i="6"/>
  <c r="J338" i="6"/>
  <c r="K338" i="6"/>
  <c r="L338" i="6"/>
  <c r="M338" i="6"/>
  <c r="N338" i="6"/>
  <c r="O338" i="6"/>
  <c r="P338" i="6"/>
  <c r="Q338" i="6"/>
  <c r="R338" i="6"/>
  <c r="S338" i="6"/>
  <c r="T338" i="6"/>
  <c r="U338" i="6"/>
  <c r="V338" i="6"/>
  <c r="W338" i="6"/>
  <c r="X338" i="6"/>
  <c r="Y338" i="6"/>
  <c r="Z338" i="6"/>
  <c r="J339" i="6"/>
  <c r="K339" i="6"/>
  <c r="L339" i="6"/>
  <c r="M339" i="6"/>
  <c r="N339" i="6"/>
  <c r="O339" i="6"/>
  <c r="P339" i="6"/>
  <c r="Q339" i="6"/>
  <c r="R339" i="6"/>
  <c r="S339" i="6"/>
  <c r="T339" i="6"/>
  <c r="U339" i="6"/>
  <c r="V339" i="6"/>
  <c r="W339" i="6"/>
  <c r="X339" i="6"/>
  <c r="Y339" i="6"/>
  <c r="Z339" i="6"/>
  <c r="J340" i="6"/>
  <c r="K340" i="6"/>
  <c r="L340" i="6"/>
  <c r="M340" i="6"/>
  <c r="N340" i="6"/>
  <c r="O340" i="6"/>
  <c r="P340" i="6"/>
  <c r="Q340" i="6"/>
  <c r="R340" i="6"/>
  <c r="S340" i="6"/>
  <c r="T340" i="6"/>
  <c r="U340" i="6"/>
  <c r="V340" i="6"/>
  <c r="W340" i="6"/>
  <c r="X340" i="6"/>
  <c r="Y340" i="6"/>
  <c r="J341" i="6"/>
  <c r="K341" i="6"/>
  <c r="L341" i="6"/>
  <c r="M341" i="6"/>
  <c r="N341" i="6"/>
  <c r="O341" i="6"/>
  <c r="P341" i="6"/>
  <c r="Q341" i="6"/>
  <c r="R341" i="6"/>
  <c r="S341" i="6"/>
  <c r="T341" i="6"/>
  <c r="U341" i="6"/>
  <c r="V341" i="6"/>
  <c r="W341" i="6"/>
  <c r="X341" i="6"/>
  <c r="J342" i="6"/>
  <c r="K342" i="6"/>
  <c r="L342" i="6"/>
  <c r="M342" i="6"/>
  <c r="N342" i="6"/>
  <c r="O342" i="6"/>
  <c r="P342" i="6"/>
  <c r="Q342" i="6"/>
  <c r="R342" i="6"/>
  <c r="S342" i="6"/>
  <c r="T342" i="6"/>
  <c r="U342" i="6"/>
  <c r="V342" i="6"/>
  <c r="W342" i="6"/>
  <c r="X342" i="6"/>
  <c r="Z342" i="6"/>
  <c r="J343" i="6"/>
  <c r="K343" i="6"/>
  <c r="L343" i="6"/>
  <c r="M343" i="6"/>
  <c r="N343" i="6"/>
  <c r="O343" i="6"/>
  <c r="P343" i="6"/>
  <c r="Q343" i="6"/>
  <c r="R343" i="6"/>
  <c r="S343" i="6"/>
  <c r="T343" i="6"/>
  <c r="U343" i="6"/>
  <c r="V343" i="6"/>
  <c r="W343" i="6"/>
  <c r="X343" i="6"/>
  <c r="Y343" i="6"/>
  <c r="Z343" i="6"/>
  <c r="J344" i="6"/>
  <c r="K344" i="6"/>
  <c r="L344" i="6"/>
  <c r="M344" i="6"/>
  <c r="N344" i="6"/>
  <c r="O344" i="6"/>
  <c r="P344" i="6"/>
  <c r="Q344" i="6"/>
  <c r="R344" i="6"/>
  <c r="S344" i="6"/>
  <c r="T344" i="6"/>
  <c r="U344" i="6"/>
  <c r="V344" i="6"/>
  <c r="W344" i="6"/>
  <c r="X344" i="6"/>
  <c r="Y344" i="6"/>
  <c r="Z344" i="6"/>
  <c r="J345" i="6"/>
  <c r="K345" i="6"/>
  <c r="L345" i="6"/>
  <c r="M345" i="6"/>
  <c r="N345" i="6"/>
  <c r="O345" i="6"/>
  <c r="P345" i="6"/>
  <c r="Q345" i="6"/>
  <c r="R345" i="6"/>
  <c r="S345" i="6"/>
  <c r="T345" i="6"/>
  <c r="U345" i="6"/>
  <c r="V345" i="6"/>
  <c r="W345" i="6"/>
  <c r="X345" i="6"/>
  <c r="Y345" i="6"/>
  <c r="Z345" i="6"/>
  <c r="J346" i="6"/>
  <c r="K346" i="6"/>
  <c r="L346" i="6"/>
  <c r="M346" i="6"/>
  <c r="N346" i="6"/>
  <c r="O346" i="6"/>
  <c r="P346" i="6"/>
  <c r="Q346" i="6"/>
  <c r="R346" i="6"/>
  <c r="S346" i="6"/>
  <c r="T346" i="6"/>
  <c r="U346" i="6"/>
  <c r="V346" i="6"/>
  <c r="W346" i="6"/>
  <c r="X346" i="6"/>
  <c r="Y346" i="6"/>
  <c r="Z346" i="6"/>
  <c r="J347" i="6"/>
  <c r="K347" i="6"/>
  <c r="L347" i="6"/>
  <c r="M347" i="6"/>
  <c r="N347" i="6"/>
  <c r="O347" i="6"/>
  <c r="P347" i="6"/>
  <c r="Q347" i="6"/>
  <c r="R347" i="6"/>
  <c r="S347" i="6"/>
  <c r="T347" i="6"/>
  <c r="U347" i="6"/>
  <c r="V347" i="6"/>
  <c r="W347" i="6"/>
  <c r="X347" i="6"/>
  <c r="Y347" i="6"/>
  <c r="J348" i="6"/>
  <c r="K348" i="6"/>
  <c r="L348" i="6"/>
  <c r="M348" i="6"/>
  <c r="N348" i="6"/>
  <c r="O348" i="6"/>
  <c r="P348" i="6"/>
  <c r="Q348" i="6"/>
  <c r="R348" i="6"/>
  <c r="S348" i="6"/>
  <c r="T348" i="6"/>
  <c r="U348" i="6"/>
  <c r="V348" i="6"/>
  <c r="W348" i="6"/>
  <c r="X348" i="6"/>
  <c r="J349" i="6"/>
  <c r="K349" i="6"/>
  <c r="L349" i="6"/>
  <c r="M349" i="6"/>
  <c r="N349" i="6"/>
  <c r="O349" i="6"/>
  <c r="P349" i="6"/>
  <c r="Q349" i="6"/>
  <c r="R349" i="6"/>
  <c r="S349" i="6"/>
  <c r="T349" i="6"/>
  <c r="U349" i="6"/>
  <c r="V349" i="6"/>
  <c r="W349" i="6"/>
  <c r="X349" i="6"/>
  <c r="Z349" i="6"/>
  <c r="J350" i="6"/>
  <c r="K350" i="6"/>
  <c r="L350" i="6"/>
  <c r="M350" i="6"/>
  <c r="N350" i="6"/>
  <c r="O350" i="6"/>
  <c r="P350" i="6"/>
  <c r="Q350" i="6"/>
  <c r="R350" i="6"/>
  <c r="S350" i="6"/>
  <c r="T350" i="6"/>
  <c r="U350" i="6"/>
  <c r="V350" i="6"/>
  <c r="Z350" i="6" s="1"/>
  <c r="W350" i="6"/>
  <c r="X350" i="6"/>
  <c r="Y350" i="6"/>
  <c r="J351" i="6"/>
  <c r="K351" i="6"/>
  <c r="L351" i="6"/>
  <c r="M351" i="6"/>
  <c r="N351" i="6"/>
  <c r="O351" i="6"/>
  <c r="P351" i="6"/>
  <c r="Q351" i="6"/>
  <c r="R351" i="6"/>
  <c r="S351" i="6"/>
  <c r="T351" i="6"/>
  <c r="U351" i="6"/>
  <c r="V351" i="6"/>
  <c r="Y351" i="6" s="1"/>
  <c r="W351" i="6"/>
  <c r="X351" i="6"/>
  <c r="Z351" i="6"/>
  <c r="J352" i="6"/>
  <c r="K352" i="6"/>
  <c r="L352" i="6"/>
  <c r="M352" i="6"/>
  <c r="N352" i="6"/>
  <c r="O352" i="6"/>
  <c r="P352" i="6"/>
  <c r="Q352" i="6"/>
  <c r="R352" i="6"/>
  <c r="S352" i="6"/>
  <c r="T352" i="6"/>
  <c r="U352" i="6"/>
  <c r="V352" i="6"/>
  <c r="W352" i="6"/>
  <c r="X352" i="6"/>
  <c r="Y352" i="6"/>
  <c r="Z352" i="6"/>
  <c r="J353" i="6"/>
  <c r="K353" i="6"/>
  <c r="L353" i="6"/>
  <c r="M353" i="6"/>
  <c r="N353" i="6"/>
  <c r="O353" i="6"/>
  <c r="P353" i="6"/>
  <c r="Q353" i="6"/>
  <c r="R353" i="6"/>
  <c r="S353" i="6"/>
  <c r="T353" i="6"/>
  <c r="U353" i="6"/>
  <c r="V353" i="6"/>
  <c r="W353" i="6"/>
  <c r="X353" i="6"/>
  <c r="Y353" i="6" s="1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F36" i="6"/>
  <c r="G36" i="6" s="1"/>
  <c r="F37" i="6"/>
  <c r="G37" i="6" s="1"/>
  <c r="F38" i="6"/>
  <c r="F39" i="6"/>
  <c r="F40" i="6"/>
  <c r="F41" i="6"/>
  <c r="G41" i="6" s="1"/>
  <c r="F42" i="6"/>
  <c r="G42" i="6" s="1"/>
  <c r="F43" i="6"/>
  <c r="G43" i="6" s="1"/>
  <c r="F44" i="6"/>
  <c r="G44" i="6" s="1"/>
  <c r="F45" i="6"/>
  <c r="G45" i="6" s="1"/>
  <c r="F46" i="6"/>
  <c r="G46" i="6" s="1"/>
  <c r="F47" i="6"/>
  <c r="G47" i="6" s="1"/>
  <c r="F48" i="6"/>
  <c r="G48" i="6" s="1"/>
  <c r="F49" i="6"/>
  <c r="G49" i="6" s="1"/>
  <c r="F50" i="6"/>
  <c r="G50" i="6" s="1"/>
  <c r="F51" i="6"/>
  <c r="G51" i="6" s="1"/>
  <c r="F52" i="6"/>
  <c r="G52" i="6" s="1"/>
  <c r="F53" i="6"/>
  <c r="G53" i="6" s="1"/>
  <c r="F54" i="6"/>
  <c r="F55" i="6"/>
  <c r="F56" i="6"/>
  <c r="F57" i="6"/>
  <c r="G57" i="6" s="1"/>
  <c r="F58" i="6"/>
  <c r="G58" i="6" s="1"/>
  <c r="F59" i="6"/>
  <c r="G59" i="6" s="1"/>
  <c r="F60" i="6"/>
  <c r="G60" i="6" s="1"/>
  <c r="F61" i="6"/>
  <c r="F62" i="6"/>
  <c r="F63" i="6"/>
  <c r="F64" i="6"/>
  <c r="G64" i="6" s="1"/>
  <c r="F65" i="6"/>
  <c r="G65" i="6" s="1"/>
  <c r="F66" i="6"/>
  <c r="G66" i="6" s="1"/>
  <c r="F67" i="6"/>
  <c r="G67" i="6" s="1"/>
  <c r="F68" i="6"/>
  <c r="G68" i="6" s="1"/>
  <c r="F69" i="6"/>
  <c r="G69" i="6" s="1"/>
  <c r="F70" i="6"/>
  <c r="F71" i="6"/>
  <c r="F72" i="6"/>
  <c r="F73" i="6"/>
  <c r="G73" i="6" s="1"/>
  <c r="F74" i="6"/>
  <c r="G74" i="6" s="1"/>
  <c r="F75" i="6"/>
  <c r="G75" i="6" s="1"/>
  <c r="F76" i="6"/>
  <c r="G76" i="6" s="1"/>
  <c r="F77" i="6"/>
  <c r="F78" i="6"/>
  <c r="F79" i="6"/>
  <c r="F80" i="6"/>
  <c r="G80" i="6" s="1"/>
  <c r="F81" i="6"/>
  <c r="G81" i="6" s="1"/>
  <c r="F82" i="6"/>
  <c r="G82" i="6" s="1"/>
  <c r="F83" i="6"/>
  <c r="G83" i="6" s="1"/>
  <c r="F84" i="6"/>
  <c r="G84" i="6" s="1"/>
  <c r="F85" i="6"/>
  <c r="G85" i="6" s="1"/>
  <c r="F86" i="6"/>
  <c r="F87" i="6"/>
  <c r="F88" i="6"/>
  <c r="F89" i="6"/>
  <c r="G89" i="6" s="1"/>
  <c r="F90" i="6"/>
  <c r="G90" i="6" s="1"/>
  <c r="F91" i="6"/>
  <c r="G91" i="6" s="1"/>
  <c r="F92" i="6"/>
  <c r="G92" i="6" s="1"/>
  <c r="F93" i="6"/>
  <c r="G93" i="6" s="1"/>
  <c r="F94" i="6"/>
  <c r="G94" i="6" s="1"/>
  <c r="F95" i="6"/>
  <c r="G95" i="6" s="1"/>
  <c r="F96" i="6"/>
  <c r="G96" i="6" s="1"/>
  <c r="F97" i="6"/>
  <c r="G97" i="6" s="1"/>
  <c r="F98" i="6"/>
  <c r="G98" i="6" s="1"/>
  <c r="F99" i="6"/>
  <c r="G99" i="6" s="1"/>
  <c r="F100" i="6"/>
  <c r="G100" i="6" s="1"/>
  <c r="F101" i="6"/>
  <c r="G101" i="6" s="1"/>
  <c r="F102" i="6"/>
  <c r="F103" i="6"/>
  <c r="F104" i="6"/>
  <c r="F105" i="6"/>
  <c r="G105" i="6" s="1"/>
  <c r="F106" i="6"/>
  <c r="G106" i="6" s="1"/>
  <c r="F107" i="6"/>
  <c r="G107" i="6" s="1"/>
  <c r="F108" i="6"/>
  <c r="G108" i="6" s="1"/>
  <c r="F109" i="6"/>
  <c r="G109" i="6" s="1"/>
  <c r="F110" i="6"/>
  <c r="G110" i="6" s="1"/>
  <c r="F111" i="6"/>
  <c r="G111" i="6" s="1"/>
  <c r="F112" i="6"/>
  <c r="G112" i="6" s="1"/>
  <c r="F113" i="6"/>
  <c r="G113" i="6" s="1"/>
  <c r="F114" i="6"/>
  <c r="G114" i="6" s="1"/>
  <c r="F115" i="6"/>
  <c r="G115" i="6" s="1"/>
  <c r="F116" i="6"/>
  <c r="G116" i="6" s="1"/>
  <c r="F117" i="6"/>
  <c r="G117" i="6" s="1"/>
  <c r="F118" i="6"/>
  <c r="F119" i="6"/>
  <c r="F120" i="6"/>
  <c r="F121" i="6"/>
  <c r="G121" i="6" s="1"/>
  <c r="F122" i="6"/>
  <c r="G122" i="6" s="1"/>
  <c r="F123" i="6"/>
  <c r="G123" i="6" s="1"/>
  <c r="F124" i="6"/>
  <c r="G124" i="6" s="1"/>
  <c r="F125" i="6"/>
  <c r="F126" i="6"/>
  <c r="G126" i="6" s="1"/>
  <c r="F127" i="6"/>
  <c r="F128" i="6"/>
  <c r="G128" i="6" s="1"/>
  <c r="F129" i="6"/>
  <c r="G129" i="6" s="1"/>
  <c r="F130" i="6"/>
  <c r="G130" i="6" s="1"/>
  <c r="F131" i="6"/>
  <c r="G131" i="6" s="1"/>
  <c r="F132" i="6"/>
  <c r="G132" i="6" s="1"/>
  <c r="F133" i="6"/>
  <c r="G133" i="6" s="1"/>
  <c r="F134" i="6"/>
  <c r="F135" i="6"/>
  <c r="F136" i="6"/>
  <c r="F137" i="6"/>
  <c r="G137" i="6" s="1"/>
  <c r="F138" i="6"/>
  <c r="G138" i="6" s="1"/>
  <c r="F139" i="6"/>
  <c r="G139" i="6" s="1"/>
  <c r="F140" i="6"/>
  <c r="G140" i="6" s="1"/>
  <c r="F141" i="6"/>
  <c r="F142" i="6"/>
  <c r="F143" i="6"/>
  <c r="F144" i="6"/>
  <c r="G144" i="6" s="1"/>
  <c r="F145" i="6"/>
  <c r="G145" i="6" s="1"/>
  <c r="F146" i="6"/>
  <c r="G146" i="6" s="1"/>
  <c r="F147" i="6"/>
  <c r="G147" i="6" s="1"/>
  <c r="F148" i="6"/>
  <c r="G148" i="6" s="1"/>
  <c r="F149" i="6"/>
  <c r="G149" i="6" s="1"/>
  <c r="F150" i="6"/>
  <c r="F151" i="6"/>
  <c r="F152" i="6"/>
  <c r="F153" i="6"/>
  <c r="G153" i="6" s="1"/>
  <c r="F154" i="6"/>
  <c r="G154" i="6" s="1"/>
  <c r="F155" i="6"/>
  <c r="G155" i="6" s="1"/>
  <c r="F156" i="6"/>
  <c r="G156" i="6" s="1"/>
  <c r="F157" i="6"/>
  <c r="G157" i="6" s="1"/>
  <c r="F158" i="6"/>
  <c r="G158" i="6" s="1"/>
  <c r="F159" i="6"/>
  <c r="G159" i="6" s="1"/>
  <c r="F160" i="6"/>
  <c r="G160" i="6" s="1"/>
  <c r="F161" i="6"/>
  <c r="G161" i="6" s="1"/>
  <c r="F162" i="6"/>
  <c r="G162" i="6" s="1"/>
  <c r="F163" i="6"/>
  <c r="G163" i="6" s="1"/>
  <c r="F164" i="6"/>
  <c r="G164" i="6" s="1"/>
  <c r="F165" i="6"/>
  <c r="G165" i="6" s="1"/>
  <c r="F166" i="6"/>
  <c r="F167" i="6"/>
  <c r="F168" i="6"/>
  <c r="F169" i="6"/>
  <c r="G169" i="6" s="1"/>
  <c r="F170" i="6"/>
  <c r="G170" i="6" s="1"/>
  <c r="F171" i="6"/>
  <c r="G171" i="6" s="1"/>
  <c r="F172" i="6"/>
  <c r="G172" i="6" s="1"/>
  <c r="F173" i="6"/>
  <c r="G173" i="6" s="1"/>
  <c r="F174" i="6"/>
  <c r="G174" i="6" s="1"/>
  <c r="F175" i="6"/>
  <c r="G175" i="6" s="1"/>
  <c r="F176" i="6"/>
  <c r="G176" i="6" s="1"/>
  <c r="F177" i="6"/>
  <c r="G177" i="6" s="1"/>
  <c r="F178" i="6"/>
  <c r="G178" i="6" s="1"/>
  <c r="F179" i="6"/>
  <c r="G179" i="6" s="1"/>
  <c r="F180" i="6"/>
  <c r="G180" i="6" s="1"/>
  <c r="F181" i="6"/>
  <c r="G181" i="6" s="1"/>
  <c r="F182" i="6"/>
  <c r="F183" i="6"/>
  <c r="F184" i="6"/>
  <c r="F185" i="6"/>
  <c r="G185" i="6" s="1"/>
  <c r="F186" i="6"/>
  <c r="G186" i="6" s="1"/>
  <c r="F187" i="6"/>
  <c r="G187" i="6" s="1"/>
  <c r="F188" i="6"/>
  <c r="G188" i="6" s="1"/>
  <c r="F189" i="6"/>
  <c r="F190" i="6"/>
  <c r="F191" i="6"/>
  <c r="F192" i="6"/>
  <c r="G192" i="6" s="1"/>
  <c r="F193" i="6"/>
  <c r="G193" i="6" s="1"/>
  <c r="F194" i="6"/>
  <c r="G194" i="6" s="1"/>
  <c r="F195" i="6"/>
  <c r="G195" i="6" s="1"/>
  <c r="F196" i="6"/>
  <c r="G196" i="6" s="1"/>
  <c r="F197" i="6"/>
  <c r="G197" i="6" s="1"/>
  <c r="F198" i="6"/>
  <c r="F199" i="6"/>
  <c r="F200" i="6"/>
  <c r="F201" i="6"/>
  <c r="G201" i="6" s="1"/>
  <c r="F202" i="6"/>
  <c r="G202" i="6" s="1"/>
  <c r="F203" i="6"/>
  <c r="G203" i="6" s="1"/>
  <c r="F204" i="6"/>
  <c r="G204" i="6" s="1"/>
  <c r="F205" i="6"/>
  <c r="F206" i="6"/>
  <c r="F207" i="6"/>
  <c r="F208" i="6"/>
  <c r="G208" i="6" s="1"/>
  <c r="F209" i="6"/>
  <c r="G209" i="6" s="1"/>
  <c r="F210" i="6"/>
  <c r="G210" i="6" s="1"/>
  <c r="F211" i="6"/>
  <c r="G211" i="6" s="1"/>
  <c r="F212" i="6"/>
  <c r="G212" i="6" s="1"/>
  <c r="F213" i="6"/>
  <c r="G213" i="6" s="1"/>
  <c r="F214" i="6"/>
  <c r="F215" i="6"/>
  <c r="F216" i="6"/>
  <c r="F217" i="6"/>
  <c r="G217" i="6" s="1"/>
  <c r="F218" i="6"/>
  <c r="G218" i="6" s="1"/>
  <c r="F219" i="6"/>
  <c r="G219" i="6" s="1"/>
  <c r="F220" i="6"/>
  <c r="G220" i="6" s="1"/>
  <c r="F221" i="6"/>
  <c r="G221" i="6" s="1"/>
  <c r="F222" i="6"/>
  <c r="G222" i="6" s="1"/>
  <c r="F223" i="6"/>
  <c r="G223" i="6" s="1"/>
  <c r="F224" i="6"/>
  <c r="G224" i="6" s="1"/>
  <c r="F225" i="6"/>
  <c r="G225" i="6" s="1"/>
  <c r="F226" i="6"/>
  <c r="G226" i="6" s="1"/>
  <c r="F227" i="6"/>
  <c r="G227" i="6" s="1"/>
  <c r="F228" i="6"/>
  <c r="G228" i="6" s="1"/>
  <c r="F229" i="6"/>
  <c r="G229" i="6" s="1"/>
  <c r="F230" i="6"/>
  <c r="F231" i="6"/>
  <c r="F232" i="6"/>
  <c r="F233" i="6"/>
  <c r="G233" i="6" s="1"/>
  <c r="F234" i="6"/>
  <c r="G234" i="6" s="1"/>
  <c r="F235" i="6"/>
  <c r="G235" i="6" s="1"/>
  <c r="F236" i="6"/>
  <c r="G236" i="6" s="1"/>
  <c r="F237" i="6"/>
  <c r="G237" i="6" s="1"/>
  <c r="F238" i="6"/>
  <c r="G238" i="6" s="1"/>
  <c r="F239" i="6"/>
  <c r="G239" i="6" s="1"/>
  <c r="F240" i="6"/>
  <c r="G240" i="6" s="1"/>
  <c r="F241" i="6"/>
  <c r="G241" i="6" s="1"/>
  <c r="F242" i="6"/>
  <c r="G242" i="6" s="1"/>
  <c r="F243" i="6"/>
  <c r="G243" i="6" s="1"/>
  <c r="F244" i="6"/>
  <c r="G244" i="6" s="1"/>
  <c r="F245" i="6"/>
  <c r="G245" i="6" s="1"/>
  <c r="F246" i="6"/>
  <c r="F247" i="6"/>
  <c r="F248" i="6"/>
  <c r="F249" i="6"/>
  <c r="G249" i="6" s="1"/>
  <c r="F250" i="6"/>
  <c r="G250" i="6" s="1"/>
  <c r="F251" i="6"/>
  <c r="G251" i="6" s="1"/>
  <c r="F252" i="6"/>
  <c r="G252" i="6" s="1"/>
  <c r="F253" i="6"/>
  <c r="F254" i="6"/>
  <c r="F255" i="6"/>
  <c r="F256" i="6"/>
  <c r="G256" i="6" s="1"/>
  <c r="F257" i="6"/>
  <c r="G257" i="6" s="1"/>
  <c r="F258" i="6"/>
  <c r="G258" i="6" s="1"/>
  <c r="F259" i="6"/>
  <c r="G259" i="6" s="1"/>
  <c r="F260" i="6"/>
  <c r="G260" i="6" s="1"/>
  <c r="F261" i="6"/>
  <c r="G261" i="6" s="1"/>
  <c r="F262" i="6"/>
  <c r="F263" i="6"/>
  <c r="F264" i="6"/>
  <c r="F265" i="6"/>
  <c r="G265" i="6" s="1"/>
  <c r="F266" i="6"/>
  <c r="G266" i="6" s="1"/>
  <c r="F267" i="6"/>
  <c r="G267" i="6" s="1"/>
  <c r="F268" i="6"/>
  <c r="G268" i="6" s="1"/>
  <c r="F269" i="6"/>
  <c r="F270" i="6"/>
  <c r="F271" i="6"/>
  <c r="F272" i="6"/>
  <c r="G272" i="6" s="1"/>
  <c r="F273" i="6"/>
  <c r="G273" i="6" s="1"/>
  <c r="F274" i="6"/>
  <c r="G274" i="6" s="1"/>
  <c r="F275" i="6"/>
  <c r="G275" i="6" s="1"/>
  <c r="F276" i="6"/>
  <c r="G276" i="6" s="1"/>
  <c r="F277" i="6"/>
  <c r="G277" i="6" s="1"/>
  <c r="F278" i="6"/>
  <c r="F279" i="6"/>
  <c r="F280" i="6"/>
  <c r="F281" i="6"/>
  <c r="G281" i="6" s="1"/>
  <c r="F282" i="6"/>
  <c r="G282" i="6" s="1"/>
  <c r="F283" i="6"/>
  <c r="G283" i="6" s="1"/>
  <c r="F284" i="6"/>
  <c r="G284" i="6" s="1"/>
  <c r="F285" i="6"/>
  <c r="G285" i="6" s="1"/>
  <c r="F286" i="6"/>
  <c r="G286" i="6" s="1"/>
  <c r="F287" i="6"/>
  <c r="G287" i="6" s="1"/>
  <c r="F288" i="6"/>
  <c r="G288" i="6" s="1"/>
  <c r="F289" i="6"/>
  <c r="G289" i="6" s="1"/>
  <c r="F290" i="6"/>
  <c r="G290" i="6" s="1"/>
  <c r="F291" i="6"/>
  <c r="G291" i="6" s="1"/>
  <c r="F292" i="6"/>
  <c r="G292" i="6" s="1"/>
  <c r="F293" i="6"/>
  <c r="G293" i="6" s="1"/>
  <c r="F294" i="6"/>
  <c r="F295" i="6"/>
  <c r="F296" i="6"/>
  <c r="F297" i="6"/>
  <c r="G297" i="6" s="1"/>
  <c r="F298" i="6"/>
  <c r="G298" i="6" s="1"/>
  <c r="F299" i="6"/>
  <c r="G299" i="6" s="1"/>
  <c r="F300" i="6"/>
  <c r="G300" i="6" s="1"/>
  <c r="F301" i="6"/>
  <c r="G301" i="6" s="1"/>
  <c r="F302" i="6"/>
  <c r="G302" i="6" s="1"/>
  <c r="F303" i="6"/>
  <c r="G303" i="6" s="1"/>
  <c r="F304" i="6"/>
  <c r="G304" i="6" s="1"/>
  <c r="F305" i="6"/>
  <c r="G305" i="6" s="1"/>
  <c r="F306" i="6"/>
  <c r="G306" i="6" s="1"/>
  <c r="F307" i="6"/>
  <c r="G307" i="6" s="1"/>
  <c r="F308" i="6"/>
  <c r="G308" i="6" s="1"/>
  <c r="F309" i="6"/>
  <c r="G309" i="6" s="1"/>
  <c r="F310" i="6"/>
  <c r="F311" i="6"/>
  <c r="F312" i="6"/>
  <c r="F313" i="6"/>
  <c r="G313" i="6" s="1"/>
  <c r="F314" i="6"/>
  <c r="G314" i="6" s="1"/>
  <c r="F315" i="6"/>
  <c r="G315" i="6" s="1"/>
  <c r="F316" i="6"/>
  <c r="F317" i="6"/>
  <c r="F318" i="6"/>
  <c r="F319" i="6"/>
  <c r="G319" i="6" s="1"/>
  <c r="F320" i="6"/>
  <c r="G320" i="6" s="1"/>
  <c r="F321" i="6"/>
  <c r="G321" i="6" s="1"/>
  <c r="F322" i="6"/>
  <c r="G322" i="6" s="1"/>
  <c r="F323" i="6"/>
  <c r="G323" i="6" s="1"/>
  <c r="F324" i="6"/>
  <c r="G324" i="6" s="1"/>
  <c r="F325" i="6"/>
  <c r="G325" i="6" s="1"/>
  <c r="F326" i="6"/>
  <c r="F327" i="6"/>
  <c r="F328" i="6"/>
  <c r="F329" i="6"/>
  <c r="G329" i="6" s="1"/>
  <c r="F330" i="6"/>
  <c r="G330" i="6" s="1"/>
  <c r="F331" i="6"/>
  <c r="G331" i="6" s="1"/>
  <c r="F332" i="6"/>
  <c r="G332" i="6" s="1"/>
  <c r="F333" i="6"/>
  <c r="F334" i="6"/>
  <c r="F335" i="6"/>
  <c r="F336" i="6"/>
  <c r="G336" i="6" s="1"/>
  <c r="F337" i="6"/>
  <c r="G337" i="6" s="1"/>
  <c r="F338" i="6"/>
  <c r="G338" i="6" s="1"/>
  <c r="F339" i="6"/>
  <c r="G339" i="6" s="1"/>
  <c r="F340" i="6"/>
  <c r="G340" i="6" s="1"/>
  <c r="F341" i="6"/>
  <c r="G341" i="6" s="1"/>
  <c r="F342" i="6"/>
  <c r="F343" i="6"/>
  <c r="F344" i="6"/>
  <c r="F345" i="6"/>
  <c r="G345" i="6" s="1"/>
  <c r="F346" i="6"/>
  <c r="G346" i="6" s="1"/>
  <c r="F347" i="6"/>
  <c r="G347" i="6" s="1"/>
  <c r="F348" i="6"/>
  <c r="F349" i="6"/>
  <c r="F350" i="6"/>
  <c r="F351" i="6"/>
  <c r="F352" i="6"/>
  <c r="F353" i="6"/>
  <c r="G38" i="6"/>
  <c r="G39" i="6"/>
  <c r="G40" i="6"/>
  <c r="G54" i="6"/>
  <c r="G55" i="6"/>
  <c r="G56" i="6"/>
  <c r="G61" i="6"/>
  <c r="G62" i="6"/>
  <c r="G63" i="6"/>
  <c r="G70" i="6"/>
  <c r="G71" i="6"/>
  <c r="G72" i="6"/>
  <c r="G77" i="6"/>
  <c r="G78" i="6"/>
  <c r="G79" i="6"/>
  <c r="G86" i="6"/>
  <c r="G87" i="6"/>
  <c r="G88" i="6"/>
  <c r="G102" i="6"/>
  <c r="G103" i="6"/>
  <c r="G104" i="6"/>
  <c r="G118" i="6"/>
  <c r="G119" i="6"/>
  <c r="G120" i="6"/>
  <c r="G125" i="6"/>
  <c r="G127" i="6"/>
  <c r="G134" i="6"/>
  <c r="G135" i="6"/>
  <c r="G136" i="6"/>
  <c r="G141" i="6"/>
  <c r="G142" i="6"/>
  <c r="G143" i="6"/>
  <c r="G150" i="6"/>
  <c r="G151" i="6"/>
  <c r="G152" i="6"/>
  <c r="G166" i="6"/>
  <c r="G167" i="6"/>
  <c r="G168" i="6"/>
  <c r="G182" i="6"/>
  <c r="G183" i="6"/>
  <c r="G184" i="6"/>
  <c r="G189" i="6"/>
  <c r="G190" i="6"/>
  <c r="G191" i="6"/>
  <c r="G198" i="6"/>
  <c r="G199" i="6"/>
  <c r="G200" i="6"/>
  <c r="G205" i="6"/>
  <c r="G206" i="6"/>
  <c r="G207" i="6"/>
  <c r="G214" i="6"/>
  <c r="G215" i="6"/>
  <c r="G216" i="6"/>
  <c r="G230" i="6"/>
  <c r="G231" i="6"/>
  <c r="G232" i="6"/>
  <c r="G246" i="6"/>
  <c r="G247" i="6"/>
  <c r="G248" i="6"/>
  <c r="G253" i="6"/>
  <c r="G254" i="6"/>
  <c r="G255" i="6"/>
  <c r="G262" i="6"/>
  <c r="G263" i="6"/>
  <c r="G264" i="6"/>
  <c r="G269" i="6"/>
  <c r="G270" i="6"/>
  <c r="G271" i="6"/>
  <c r="G278" i="6"/>
  <c r="G279" i="6"/>
  <c r="G280" i="6"/>
  <c r="G294" i="6"/>
  <c r="G295" i="6"/>
  <c r="G296" i="6"/>
  <c r="G310" i="6"/>
  <c r="G311" i="6"/>
  <c r="G312" i="6"/>
  <c r="G316" i="6"/>
  <c r="G317" i="6"/>
  <c r="G318" i="6"/>
  <c r="G326" i="6"/>
  <c r="G327" i="6"/>
  <c r="G328" i="6"/>
  <c r="G333" i="6"/>
  <c r="G334" i="6"/>
  <c r="G335" i="6"/>
  <c r="G342" i="6"/>
  <c r="G343" i="6"/>
  <c r="G344" i="6"/>
  <c r="G348" i="6"/>
  <c r="G349" i="6"/>
  <c r="G350" i="6"/>
  <c r="G351" i="6"/>
  <c r="G352" i="6"/>
  <c r="G353" i="6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F45" i="7"/>
  <c r="F46" i="7"/>
  <c r="G46" i="7" s="1"/>
  <c r="F47" i="7"/>
  <c r="G47" i="7" s="1"/>
  <c r="F48" i="7"/>
  <c r="G48" i="7" s="1"/>
  <c r="F49" i="7"/>
  <c r="G49" i="7" s="1"/>
  <c r="F50" i="7"/>
  <c r="G50" i="7" s="1"/>
  <c r="F51" i="7"/>
  <c r="F52" i="7"/>
  <c r="F53" i="7"/>
  <c r="G53" i="7" s="1"/>
  <c r="F54" i="7"/>
  <c r="F55" i="7"/>
  <c r="F56" i="7"/>
  <c r="F57" i="7"/>
  <c r="F58" i="7"/>
  <c r="F59" i="7"/>
  <c r="F60" i="7"/>
  <c r="F61" i="7"/>
  <c r="F62" i="7"/>
  <c r="G62" i="7" s="1"/>
  <c r="F63" i="7"/>
  <c r="G63" i="7" s="1"/>
  <c r="F64" i="7"/>
  <c r="G64" i="7" s="1"/>
  <c r="F65" i="7"/>
  <c r="G65" i="7" s="1"/>
  <c r="F66" i="7"/>
  <c r="G66" i="7" s="1"/>
  <c r="F67" i="7"/>
  <c r="F68" i="7"/>
  <c r="F69" i="7"/>
  <c r="G69" i="7" s="1"/>
  <c r="F70" i="7"/>
  <c r="F71" i="7"/>
  <c r="F72" i="7"/>
  <c r="F73" i="7"/>
  <c r="F74" i="7"/>
  <c r="F75" i="7"/>
  <c r="F76" i="7"/>
  <c r="F77" i="7"/>
  <c r="F78" i="7"/>
  <c r="G78" i="7" s="1"/>
  <c r="F79" i="7"/>
  <c r="G79" i="7" s="1"/>
  <c r="F80" i="7"/>
  <c r="G80" i="7" s="1"/>
  <c r="F81" i="7"/>
  <c r="G81" i="7" s="1"/>
  <c r="F82" i="7"/>
  <c r="G82" i="7" s="1"/>
  <c r="F83" i="7"/>
  <c r="F84" i="7"/>
  <c r="F85" i="7"/>
  <c r="G85" i="7" s="1"/>
  <c r="F86" i="7"/>
  <c r="F87" i="7"/>
  <c r="F88" i="7"/>
  <c r="F89" i="7"/>
  <c r="F90" i="7"/>
  <c r="F91" i="7"/>
  <c r="F92" i="7"/>
  <c r="F93" i="7"/>
  <c r="F94" i="7"/>
  <c r="G94" i="7" s="1"/>
  <c r="F95" i="7"/>
  <c r="G95" i="7" s="1"/>
  <c r="F96" i="7"/>
  <c r="G96" i="7" s="1"/>
  <c r="F97" i="7"/>
  <c r="G97" i="7" s="1"/>
  <c r="F98" i="7"/>
  <c r="G98" i="7" s="1"/>
  <c r="F99" i="7"/>
  <c r="F100" i="7"/>
  <c r="F101" i="7"/>
  <c r="G101" i="7" s="1"/>
  <c r="F102" i="7"/>
  <c r="F103" i="7"/>
  <c r="F104" i="7"/>
  <c r="F105" i="7"/>
  <c r="F106" i="7"/>
  <c r="F107" i="7"/>
  <c r="F108" i="7"/>
  <c r="F109" i="7"/>
  <c r="F110" i="7"/>
  <c r="G110" i="7" s="1"/>
  <c r="F111" i="7"/>
  <c r="G111" i="7" s="1"/>
  <c r="F112" i="7"/>
  <c r="G112" i="7" s="1"/>
  <c r="F113" i="7"/>
  <c r="G113" i="7" s="1"/>
  <c r="F114" i="7"/>
  <c r="G114" i="7" s="1"/>
  <c r="F115" i="7"/>
  <c r="F116" i="7"/>
  <c r="F117" i="7"/>
  <c r="G117" i="7" s="1"/>
  <c r="F118" i="7"/>
  <c r="F119" i="7"/>
  <c r="F120" i="7"/>
  <c r="F121" i="7"/>
  <c r="F122" i="7"/>
  <c r="F123" i="7"/>
  <c r="F124" i="7"/>
  <c r="F125" i="7"/>
  <c r="F126" i="7"/>
  <c r="G126" i="7" s="1"/>
  <c r="F127" i="7"/>
  <c r="G127" i="7" s="1"/>
  <c r="F128" i="7"/>
  <c r="G128" i="7" s="1"/>
  <c r="F129" i="7"/>
  <c r="G129" i="7" s="1"/>
  <c r="F130" i="7"/>
  <c r="G130" i="7" s="1"/>
  <c r="F131" i="7"/>
  <c r="F132" i="7"/>
  <c r="F133" i="7"/>
  <c r="G133" i="7" s="1"/>
  <c r="F134" i="7"/>
  <c r="F135" i="7"/>
  <c r="F136" i="7"/>
  <c r="F137" i="7"/>
  <c r="F138" i="7"/>
  <c r="F139" i="7"/>
  <c r="F140" i="7"/>
  <c r="F141" i="7"/>
  <c r="F142" i="7"/>
  <c r="G142" i="7" s="1"/>
  <c r="F143" i="7"/>
  <c r="G143" i="7" s="1"/>
  <c r="F144" i="7"/>
  <c r="G144" i="7" s="1"/>
  <c r="F145" i="7"/>
  <c r="G145" i="7" s="1"/>
  <c r="F146" i="7"/>
  <c r="G146" i="7" s="1"/>
  <c r="F147" i="7"/>
  <c r="F148" i="7"/>
  <c r="F149" i="7"/>
  <c r="G149" i="7" s="1"/>
  <c r="F150" i="7"/>
  <c r="F151" i="7"/>
  <c r="F152" i="7"/>
  <c r="F153" i="7"/>
  <c r="F154" i="7"/>
  <c r="F155" i="7"/>
  <c r="F156" i="7"/>
  <c r="F157" i="7"/>
  <c r="F158" i="7"/>
  <c r="G158" i="7" s="1"/>
  <c r="F159" i="7"/>
  <c r="G159" i="7" s="1"/>
  <c r="F160" i="7"/>
  <c r="G160" i="7" s="1"/>
  <c r="F161" i="7"/>
  <c r="G161" i="7" s="1"/>
  <c r="F162" i="7"/>
  <c r="G162" i="7" s="1"/>
  <c r="F163" i="7"/>
  <c r="F164" i="7"/>
  <c r="F165" i="7"/>
  <c r="G165" i="7" s="1"/>
  <c r="F166" i="7"/>
  <c r="F167" i="7"/>
  <c r="F168" i="7"/>
  <c r="F169" i="7"/>
  <c r="F170" i="7"/>
  <c r="F171" i="7"/>
  <c r="F172" i="7"/>
  <c r="F173" i="7"/>
  <c r="F174" i="7"/>
  <c r="G174" i="7" s="1"/>
  <c r="F175" i="7"/>
  <c r="G175" i="7" s="1"/>
  <c r="F176" i="7"/>
  <c r="G176" i="7" s="1"/>
  <c r="F177" i="7"/>
  <c r="G177" i="7" s="1"/>
  <c r="F178" i="7"/>
  <c r="G178" i="7" s="1"/>
  <c r="F179" i="7"/>
  <c r="F180" i="7"/>
  <c r="F181" i="7"/>
  <c r="G181" i="7" s="1"/>
  <c r="F182" i="7"/>
  <c r="F183" i="7"/>
  <c r="F184" i="7"/>
  <c r="F185" i="7"/>
  <c r="F186" i="7"/>
  <c r="F187" i="7"/>
  <c r="F188" i="7"/>
  <c r="F189" i="7"/>
  <c r="F190" i="7"/>
  <c r="G190" i="7" s="1"/>
  <c r="F191" i="7"/>
  <c r="G191" i="7" s="1"/>
  <c r="F192" i="7"/>
  <c r="G192" i="7" s="1"/>
  <c r="F193" i="7"/>
  <c r="G193" i="7" s="1"/>
  <c r="F194" i="7"/>
  <c r="G194" i="7" s="1"/>
  <c r="F195" i="7"/>
  <c r="F196" i="7"/>
  <c r="F197" i="7"/>
  <c r="G197" i="7" s="1"/>
  <c r="F198" i="7"/>
  <c r="F199" i="7"/>
  <c r="F200" i="7"/>
  <c r="G200" i="7" s="1"/>
  <c r="F201" i="7"/>
  <c r="F202" i="7"/>
  <c r="F203" i="7"/>
  <c r="F204" i="7"/>
  <c r="F205" i="7"/>
  <c r="F206" i="7"/>
  <c r="G206" i="7" s="1"/>
  <c r="F207" i="7"/>
  <c r="G207" i="7" s="1"/>
  <c r="F208" i="7"/>
  <c r="G208" i="7" s="1"/>
  <c r="F209" i="7"/>
  <c r="G209" i="7" s="1"/>
  <c r="F210" i="7"/>
  <c r="G210" i="7" s="1"/>
  <c r="F211" i="7"/>
  <c r="F212" i="7"/>
  <c r="F213" i="7"/>
  <c r="G213" i="7" s="1"/>
  <c r="F214" i="7"/>
  <c r="F215" i="7"/>
  <c r="F216" i="7"/>
  <c r="G216" i="7" s="1"/>
  <c r="F217" i="7"/>
  <c r="F218" i="7"/>
  <c r="F219" i="7"/>
  <c r="F220" i="7"/>
  <c r="F221" i="7"/>
  <c r="F222" i="7"/>
  <c r="G222" i="7" s="1"/>
  <c r="F223" i="7"/>
  <c r="G223" i="7" s="1"/>
  <c r="F224" i="7"/>
  <c r="G224" i="7" s="1"/>
  <c r="F225" i="7"/>
  <c r="G225" i="7" s="1"/>
  <c r="F226" i="7"/>
  <c r="G226" i="7" s="1"/>
  <c r="F227" i="7"/>
  <c r="F228" i="7"/>
  <c r="F229" i="7"/>
  <c r="G229" i="7" s="1"/>
  <c r="F230" i="7"/>
  <c r="F231" i="7"/>
  <c r="F232" i="7"/>
  <c r="G232" i="7" s="1"/>
  <c r="F233" i="7"/>
  <c r="F234" i="7"/>
  <c r="F235" i="7"/>
  <c r="F236" i="7"/>
  <c r="F237" i="7"/>
  <c r="F238" i="7"/>
  <c r="G238" i="7" s="1"/>
  <c r="F239" i="7"/>
  <c r="G239" i="7" s="1"/>
  <c r="F240" i="7"/>
  <c r="G240" i="7" s="1"/>
  <c r="F241" i="7"/>
  <c r="G241" i="7" s="1"/>
  <c r="F242" i="7"/>
  <c r="G242" i="7" s="1"/>
  <c r="F243" i="7"/>
  <c r="F244" i="7"/>
  <c r="F245" i="7"/>
  <c r="G245" i="7" s="1"/>
  <c r="F246" i="7"/>
  <c r="F247" i="7"/>
  <c r="F248" i="7"/>
  <c r="G248" i="7" s="1"/>
  <c r="F249" i="7"/>
  <c r="F250" i="7"/>
  <c r="F251" i="7"/>
  <c r="F252" i="7"/>
  <c r="F253" i="7"/>
  <c r="F254" i="7"/>
  <c r="G254" i="7" s="1"/>
  <c r="F255" i="7"/>
  <c r="G255" i="7" s="1"/>
  <c r="F256" i="7"/>
  <c r="G256" i="7" s="1"/>
  <c r="F257" i="7"/>
  <c r="G257" i="7" s="1"/>
  <c r="F258" i="7"/>
  <c r="G258" i="7" s="1"/>
  <c r="F259" i="7"/>
  <c r="F260" i="7"/>
  <c r="F261" i="7"/>
  <c r="G261" i="7" s="1"/>
  <c r="F262" i="7"/>
  <c r="F263" i="7"/>
  <c r="F264" i="7"/>
  <c r="G264" i="7" s="1"/>
  <c r="F265" i="7"/>
  <c r="F266" i="7"/>
  <c r="F267" i="7"/>
  <c r="F268" i="7"/>
  <c r="F269" i="7"/>
  <c r="F270" i="7"/>
  <c r="G270" i="7" s="1"/>
  <c r="F271" i="7"/>
  <c r="G271" i="7" s="1"/>
  <c r="F272" i="7"/>
  <c r="G272" i="7" s="1"/>
  <c r="F273" i="7"/>
  <c r="G273" i="7" s="1"/>
  <c r="F274" i="7"/>
  <c r="G274" i="7" s="1"/>
  <c r="F275" i="7"/>
  <c r="F276" i="7"/>
  <c r="F277" i="7"/>
  <c r="G277" i="7" s="1"/>
  <c r="F278" i="7"/>
  <c r="F279" i="7"/>
  <c r="F280" i="7"/>
  <c r="G280" i="7" s="1"/>
  <c r="F281" i="7"/>
  <c r="F282" i="7"/>
  <c r="F283" i="7"/>
  <c r="F284" i="7"/>
  <c r="F285" i="7"/>
  <c r="F286" i="7"/>
  <c r="G286" i="7" s="1"/>
  <c r="F287" i="7"/>
  <c r="G287" i="7" s="1"/>
  <c r="F288" i="7"/>
  <c r="G288" i="7" s="1"/>
  <c r="F289" i="7"/>
  <c r="G289" i="7" s="1"/>
  <c r="G45" i="7"/>
  <c r="G51" i="7"/>
  <c r="G52" i="7"/>
  <c r="G54" i="7"/>
  <c r="G55" i="7"/>
  <c r="G56" i="7"/>
  <c r="G57" i="7"/>
  <c r="G58" i="7"/>
  <c r="G59" i="7"/>
  <c r="G60" i="7"/>
  <c r="G61" i="7"/>
  <c r="G67" i="7"/>
  <c r="G68" i="7"/>
  <c r="G70" i="7"/>
  <c r="G71" i="7"/>
  <c r="G72" i="7"/>
  <c r="G73" i="7"/>
  <c r="G74" i="7"/>
  <c r="G75" i="7"/>
  <c r="G76" i="7"/>
  <c r="G77" i="7"/>
  <c r="G83" i="7"/>
  <c r="G84" i="7"/>
  <c r="G86" i="7"/>
  <c r="G87" i="7"/>
  <c r="G88" i="7"/>
  <c r="G89" i="7"/>
  <c r="G90" i="7"/>
  <c r="G91" i="7"/>
  <c r="G92" i="7"/>
  <c r="G93" i="7"/>
  <c r="G99" i="7"/>
  <c r="G100" i="7"/>
  <c r="G102" i="7"/>
  <c r="G103" i="7"/>
  <c r="G104" i="7"/>
  <c r="G105" i="7"/>
  <c r="G106" i="7"/>
  <c r="G107" i="7"/>
  <c r="G108" i="7"/>
  <c r="G109" i="7"/>
  <c r="G115" i="7"/>
  <c r="G116" i="7"/>
  <c r="G118" i="7"/>
  <c r="G119" i="7"/>
  <c r="G120" i="7"/>
  <c r="G121" i="7"/>
  <c r="G122" i="7"/>
  <c r="G123" i="7"/>
  <c r="G124" i="7"/>
  <c r="G125" i="7"/>
  <c r="G131" i="7"/>
  <c r="G132" i="7"/>
  <c r="G134" i="7"/>
  <c r="G135" i="7"/>
  <c r="G136" i="7"/>
  <c r="G137" i="7"/>
  <c r="G138" i="7"/>
  <c r="G139" i="7"/>
  <c r="G140" i="7"/>
  <c r="G141" i="7"/>
  <c r="G147" i="7"/>
  <c r="G148" i="7"/>
  <c r="G150" i="7"/>
  <c r="G151" i="7"/>
  <c r="G152" i="7"/>
  <c r="G153" i="7"/>
  <c r="G154" i="7"/>
  <c r="G155" i="7"/>
  <c r="G156" i="7"/>
  <c r="G157" i="7"/>
  <c r="G163" i="7"/>
  <c r="G164" i="7"/>
  <c r="G166" i="7"/>
  <c r="G167" i="7"/>
  <c r="G168" i="7"/>
  <c r="G169" i="7"/>
  <c r="G170" i="7"/>
  <c r="G171" i="7"/>
  <c r="G172" i="7"/>
  <c r="G173" i="7"/>
  <c r="G179" i="7"/>
  <c r="G180" i="7"/>
  <c r="G182" i="7"/>
  <c r="G183" i="7"/>
  <c r="G184" i="7"/>
  <c r="G185" i="7"/>
  <c r="G186" i="7"/>
  <c r="G187" i="7"/>
  <c r="G188" i="7"/>
  <c r="G189" i="7"/>
  <c r="G195" i="7"/>
  <c r="G196" i="7"/>
  <c r="G198" i="7"/>
  <c r="G199" i="7"/>
  <c r="G201" i="7"/>
  <c r="G202" i="7"/>
  <c r="G203" i="7"/>
  <c r="G204" i="7"/>
  <c r="G205" i="7"/>
  <c r="G211" i="7"/>
  <c r="G212" i="7"/>
  <c r="G214" i="7"/>
  <c r="G215" i="7"/>
  <c r="G217" i="7"/>
  <c r="G218" i="7"/>
  <c r="G219" i="7"/>
  <c r="G220" i="7"/>
  <c r="G221" i="7"/>
  <c r="G227" i="7"/>
  <c r="G228" i="7"/>
  <c r="G230" i="7"/>
  <c r="G231" i="7"/>
  <c r="G233" i="7"/>
  <c r="G234" i="7"/>
  <c r="G235" i="7"/>
  <c r="G236" i="7"/>
  <c r="G237" i="7"/>
  <c r="G243" i="7"/>
  <c r="G244" i="7"/>
  <c r="G246" i="7"/>
  <c r="G247" i="7"/>
  <c r="G249" i="7"/>
  <c r="G250" i="7"/>
  <c r="G251" i="7"/>
  <c r="G252" i="7"/>
  <c r="G253" i="7"/>
  <c r="G259" i="7"/>
  <c r="G260" i="7"/>
  <c r="G262" i="7"/>
  <c r="G263" i="7"/>
  <c r="G265" i="7"/>
  <c r="G266" i="7"/>
  <c r="G267" i="7"/>
  <c r="G268" i="7"/>
  <c r="G269" i="7"/>
  <c r="G275" i="7"/>
  <c r="G276" i="7"/>
  <c r="G278" i="7"/>
  <c r="G279" i="7"/>
  <c r="G281" i="7"/>
  <c r="G282" i="7"/>
  <c r="G283" i="7"/>
  <c r="G284" i="7"/>
  <c r="G285" i="7"/>
  <c r="H45" i="7"/>
  <c r="H46" i="7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AK117" i="1"/>
  <c r="Y117" i="1"/>
  <c r="X117" i="1"/>
  <c r="W117" i="1"/>
  <c r="AI117" i="1" s="1"/>
  <c r="A117" i="1"/>
  <c r="B117" i="1"/>
  <c r="E117" i="1"/>
  <c r="F117" i="1" s="1"/>
  <c r="H117" i="1"/>
  <c r="AJ117" i="1"/>
  <c r="AL117" i="1" s="1"/>
  <c r="AM117" i="1"/>
  <c r="C220" i="3"/>
  <c r="B220" i="3"/>
  <c r="F220" i="3"/>
  <c r="G220" i="3"/>
  <c r="M220" i="3"/>
  <c r="N220" i="3"/>
  <c r="W220" i="3"/>
  <c r="X220" i="3"/>
  <c r="Y220" i="3"/>
  <c r="Z220" i="3"/>
  <c r="AK116" i="1"/>
  <c r="Y116" i="1"/>
  <c r="X116" i="1"/>
  <c r="W116" i="1"/>
  <c r="H116" i="1"/>
  <c r="AJ116" i="1"/>
  <c r="AM116" i="1"/>
  <c r="AK115" i="1"/>
  <c r="Y115" i="1"/>
  <c r="X115" i="1"/>
  <c r="W115" i="1"/>
  <c r="H115" i="1"/>
  <c r="AJ115" i="1"/>
  <c r="AM115" i="1"/>
  <c r="P63" i="11"/>
  <c r="M63" i="11"/>
  <c r="P62" i="11"/>
  <c r="M62" i="11"/>
  <c r="AD62" i="11" s="1"/>
  <c r="P61" i="11"/>
  <c r="M61" i="11"/>
  <c r="C63" i="11"/>
  <c r="B63" i="11"/>
  <c r="C62" i="11"/>
  <c r="B62" i="11"/>
  <c r="C61" i="11"/>
  <c r="B61" i="11"/>
  <c r="F62" i="11"/>
  <c r="G62" i="11" s="1"/>
  <c r="F63" i="11"/>
  <c r="G63" i="11"/>
  <c r="Y62" i="11"/>
  <c r="Y63" i="11"/>
  <c r="AB63" i="11" s="1"/>
  <c r="AD63" i="11"/>
  <c r="F61" i="11"/>
  <c r="G61" i="11"/>
  <c r="Y61" i="11"/>
  <c r="AB61" i="11" s="1"/>
  <c r="AD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Y335" i="6" l="1"/>
  <c r="Z335" i="6"/>
  <c r="Z308" i="6"/>
  <c r="Y308" i="6"/>
  <c r="Y279" i="6"/>
  <c r="Z279" i="6"/>
  <c r="Y178" i="6"/>
  <c r="Z178" i="6"/>
  <c r="Z174" i="6"/>
  <c r="Y174" i="6"/>
  <c r="Y169" i="6"/>
  <c r="Z169" i="6"/>
  <c r="Y118" i="6"/>
  <c r="Z118" i="6"/>
  <c r="Y309" i="6"/>
  <c r="Z309" i="6"/>
  <c r="Y200" i="6"/>
  <c r="Z200" i="6"/>
  <c r="Z196" i="6"/>
  <c r="Y196" i="6"/>
  <c r="Y175" i="6"/>
  <c r="Z175" i="6"/>
  <c r="Z148" i="6"/>
  <c r="Y148" i="6"/>
  <c r="Y119" i="6"/>
  <c r="Z119" i="6"/>
  <c r="Y310" i="6"/>
  <c r="Z310" i="6"/>
  <c r="Z225" i="6"/>
  <c r="Z221" i="6"/>
  <c r="Y197" i="6"/>
  <c r="Z197" i="6"/>
  <c r="Y191" i="6"/>
  <c r="Z191" i="6"/>
  <c r="Z190" i="6"/>
  <c r="Y179" i="6"/>
  <c r="Z179" i="6"/>
  <c r="Y149" i="6"/>
  <c r="Z149" i="6"/>
  <c r="Y67" i="6"/>
  <c r="Z67" i="6"/>
  <c r="Z42" i="6"/>
  <c r="Y311" i="6"/>
  <c r="Z311" i="6"/>
  <c r="Y231" i="6"/>
  <c r="Z230" i="6"/>
  <c r="Z227" i="6"/>
  <c r="Z224" i="6"/>
  <c r="Z220" i="6"/>
  <c r="Y210" i="6"/>
  <c r="Z210" i="6"/>
  <c r="Z206" i="6"/>
  <c r="Y206" i="6"/>
  <c r="Z205" i="6"/>
  <c r="Y201" i="6"/>
  <c r="Z201" i="6"/>
  <c r="Y198" i="6"/>
  <c r="Y192" i="6"/>
  <c r="Y150" i="6"/>
  <c r="Z150" i="6"/>
  <c r="Y63" i="6"/>
  <c r="Z63" i="6"/>
  <c r="Z62" i="6"/>
  <c r="Y43" i="6"/>
  <c r="Z43" i="6"/>
  <c r="Y259" i="6"/>
  <c r="Z258" i="6"/>
  <c r="Y232" i="6"/>
  <c r="Z232" i="6"/>
  <c r="Z228" i="6"/>
  <c r="Y228" i="6"/>
  <c r="Z219" i="6"/>
  <c r="Y207" i="6"/>
  <c r="Z207" i="6"/>
  <c r="Z180" i="6"/>
  <c r="Y180" i="6"/>
  <c r="Y151" i="6"/>
  <c r="Z151" i="6"/>
  <c r="Z76" i="6"/>
  <c r="Y71" i="6"/>
  <c r="Z68" i="6"/>
  <c r="Y68" i="6"/>
  <c r="Y64" i="6"/>
  <c r="Y44" i="6"/>
  <c r="Z44" i="6"/>
  <c r="Z234" i="6"/>
  <c r="Y229" i="6"/>
  <c r="Z229" i="6"/>
  <c r="Y223" i="6"/>
  <c r="Z223" i="6"/>
  <c r="Z222" i="6"/>
  <c r="Y211" i="6"/>
  <c r="Z211" i="6"/>
  <c r="Y181" i="6"/>
  <c r="Z181" i="6"/>
  <c r="Y72" i="6"/>
  <c r="Z72" i="6"/>
  <c r="Y69" i="6"/>
  <c r="Z69" i="6"/>
  <c r="Y45" i="6"/>
  <c r="Z45" i="6"/>
  <c r="Y242" i="6"/>
  <c r="Z242" i="6"/>
  <c r="Z238" i="6"/>
  <c r="Y238" i="6"/>
  <c r="Y233" i="6"/>
  <c r="Z233" i="6"/>
  <c r="Y182" i="6"/>
  <c r="Z182" i="6"/>
  <c r="Y70" i="6"/>
  <c r="Z70" i="6"/>
  <c r="Z353" i="6"/>
  <c r="Y264" i="6"/>
  <c r="Z264" i="6"/>
  <c r="Z260" i="6"/>
  <c r="Y260" i="6"/>
  <c r="Y239" i="6"/>
  <c r="Z239" i="6"/>
  <c r="Z212" i="6"/>
  <c r="Y212" i="6"/>
  <c r="Y183" i="6"/>
  <c r="Z183" i="6"/>
  <c r="Z99" i="6"/>
  <c r="Y82" i="6"/>
  <c r="Z82" i="6"/>
  <c r="Z78" i="6"/>
  <c r="Y78" i="6"/>
  <c r="Z77" i="6"/>
  <c r="Y73" i="6"/>
  <c r="Z73" i="6"/>
  <c r="Y48" i="6"/>
  <c r="Z48" i="6"/>
  <c r="Y261" i="6"/>
  <c r="Z261" i="6"/>
  <c r="Y255" i="6"/>
  <c r="Z255" i="6"/>
  <c r="Z254" i="6"/>
  <c r="Y243" i="6"/>
  <c r="Z243" i="6"/>
  <c r="Y213" i="6"/>
  <c r="Z213" i="6"/>
  <c r="Y104" i="6"/>
  <c r="Z104" i="6"/>
  <c r="Z100" i="6"/>
  <c r="Y100" i="6"/>
  <c r="Y79" i="6"/>
  <c r="Z79" i="6"/>
  <c r="Y49" i="6"/>
  <c r="Z49" i="6"/>
  <c r="Z291" i="6"/>
  <c r="Y274" i="6"/>
  <c r="Z274" i="6"/>
  <c r="Z270" i="6"/>
  <c r="Y270" i="6"/>
  <c r="Z269" i="6"/>
  <c r="Y265" i="6"/>
  <c r="Z265" i="6"/>
  <c r="Y262" i="6"/>
  <c r="Y256" i="6"/>
  <c r="Y214" i="6"/>
  <c r="Z214" i="6"/>
  <c r="Y101" i="6"/>
  <c r="Z101" i="6"/>
  <c r="Y95" i="6"/>
  <c r="Z95" i="6"/>
  <c r="Z94" i="6"/>
  <c r="Y83" i="6"/>
  <c r="Z83" i="6"/>
  <c r="Y296" i="6"/>
  <c r="Z296" i="6"/>
  <c r="Z292" i="6"/>
  <c r="Y292" i="6"/>
  <c r="Y271" i="6"/>
  <c r="Z271" i="6"/>
  <c r="Z244" i="6"/>
  <c r="Y244" i="6"/>
  <c r="Y215" i="6"/>
  <c r="Z215" i="6"/>
  <c r="Z131" i="6"/>
  <c r="Y114" i="6"/>
  <c r="Z114" i="6"/>
  <c r="Z110" i="6"/>
  <c r="Y110" i="6"/>
  <c r="Z109" i="6"/>
  <c r="Y105" i="6"/>
  <c r="Z105" i="6"/>
  <c r="Y102" i="6"/>
  <c r="Y96" i="6"/>
  <c r="Y348" i="6"/>
  <c r="Z348" i="6"/>
  <c r="Z347" i="6"/>
  <c r="Y293" i="6"/>
  <c r="Z293" i="6"/>
  <c r="Y287" i="6"/>
  <c r="Z287" i="6"/>
  <c r="Z286" i="6"/>
  <c r="Y275" i="6"/>
  <c r="Z275" i="6"/>
  <c r="Y245" i="6"/>
  <c r="Z245" i="6"/>
  <c r="Y136" i="6"/>
  <c r="Z136" i="6"/>
  <c r="Z132" i="6"/>
  <c r="Y132" i="6"/>
  <c r="Y111" i="6"/>
  <c r="Z111" i="6"/>
  <c r="Z84" i="6"/>
  <c r="Y84" i="6"/>
  <c r="Y349" i="6"/>
  <c r="Y322" i="6"/>
  <c r="Z322" i="6"/>
  <c r="Y306" i="6"/>
  <c r="Z306" i="6"/>
  <c r="Z302" i="6"/>
  <c r="Y302" i="6"/>
  <c r="Z301" i="6"/>
  <c r="Y297" i="6"/>
  <c r="Z297" i="6"/>
  <c r="Y294" i="6"/>
  <c r="Y288" i="6"/>
  <c r="Y246" i="6"/>
  <c r="Z246" i="6"/>
  <c r="Z161" i="6"/>
  <c r="Z157" i="6"/>
  <c r="Y133" i="6"/>
  <c r="Z133" i="6"/>
  <c r="Y127" i="6"/>
  <c r="Z127" i="6"/>
  <c r="Z126" i="6"/>
  <c r="Y115" i="6"/>
  <c r="Z115" i="6"/>
  <c r="Y85" i="6"/>
  <c r="Z85" i="6"/>
  <c r="Y332" i="6"/>
  <c r="Z332" i="6"/>
  <c r="Z331" i="6"/>
  <c r="Z327" i="6"/>
  <c r="Z321" i="6"/>
  <c r="Y303" i="6"/>
  <c r="Z303" i="6"/>
  <c r="Z276" i="6"/>
  <c r="Y276" i="6"/>
  <c r="Y247" i="6"/>
  <c r="Z247" i="6"/>
  <c r="Y167" i="6"/>
  <c r="Z166" i="6"/>
  <c r="Z163" i="6"/>
  <c r="Z160" i="6"/>
  <c r="Z156" i="6"/>
  <c r="Y146" i="6"/>
  <c r="Z146" i="6"/>
  <c r="Z142" i="6"/>
  <c r="Y142" i="6"/>
  <c r="Z141" i="6"/>
  <c r="Y137" i="6"/>
  <c r="Z137" i="6"/>
  <c r="Y134" i="6"/>
  <c r="Y128" i="6"/>
  <c r="Y86" i="6"/>
  <c r="Z86" i="6"/>
  <c r="Y341" i="6"/>
  <c r="Z341" i="6"/>
  <c r="Z340" i="6"/>
  <c r="Z336" i="6"/>
  <c r="Y333" i="6"/>
  <c r="Z333" i="6"/>
  <c r="Y325" i="6"/>
  <c r="Z325" i="6"/>
  <c r="Y323" i="6"/>
  <c r="Y319" i="6"/>
  <c r="Z318" i="6"/>
  <c r="Y307" i="6"/>
  <c r="Z307" i="6"/>
  <c r="Y277" i="6"/>
  <c r="Z277" i="6"/>
  <c r="Y195" i="6"/>
  <c r="Z194" i="6"/>
  <c r="Y168" i="6"/>
  <c r="Z168" i="6"/>
  <c r="Z164" i="6"/>
  <c r="Y164" i="6"/>
  <c r="Z155" i="6"/>
  <c r="Y143" i="6"/>
  <c r="Z143" i="6"/>
  <c r="Z116" i="6"/>
  <c r="Y116" i="6"/>
  <c r="Y87" i="6"/>
  <c r="Z87" i="6"/>
  <c r="Z334" i="6"/>
  <c r="Y334" i="6"/>
  <c r="Y326" i="6"/>
  <c r="Z326" i="6"/>
  <c r="Y278" i="6"/>
  <c r="Z278" i="6"/>
  <c r="Y190" i="6"/>
  <c r="Z170" i="6"/>
  <c r="Y165" i="6"/>
  <c r="Z165" i="6"/>
  <c r="Y159" i="6"/>
  <c r="Z159" i="6"/>
  <c r="Z158" i="6"/>
  <c r="Y147" i="6"/>
  <c r="Z147" i="6"/>
  <c r="Y117" i="6"/>
  <c r="Z117" i="6"/>
  <c r="Y304" i="6"/>
  <c r="Y272" i="6"/>
  <c r="Y240" i="6"/>
  <c r="Y208" i="6"/>
  <c r="Y176" i="6"/>
  <c r="Y144" i="6"/>
  <c r="Y112" i="6"/>
  <c r="Y80" i="6"/>
  <c r="Y37" i="6"/>
  <c r="Z37" i="6"/>
  <c r="Y38" i="6"/>
  <c r="Z38" i="6"/>
  <c r="Y342" i="6"/>
  <c r="Y53" i="6"/>
  <c r="Z53" i="6"/>
  <c r="Z52" i="6"/>
  <c r="Y54" i="6"/>
  <c r="Z54" i="6"/>
  <c r="Y47" i="6"/>
  <c r="Z47" i="6"/>
  <c r="Z46" i="6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L111" i="1" l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P56" i="11" l="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B56" i="11" l="1"/>
  <c r="AL100" i="1"/>
  <c r="AI100" i="1"/>
  <c r="AL98" i="1"/>
  <c r="AI99" i="1"/>
  <c r="AL97" i="1"/>
  <c r="AI98" i="1"/>
  <c r="AI97" i="1"/>
  <c r="AL96" i="1"/>
  <c r="AI96" i="1"/>
  <c r="AK95" i="1" l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AB55" i="11" l="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AL89" i="1" l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AK69" i="1" l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L68" i="1" l="1"/>
  <c r="AB39" i="11"/>
  <c r="AL67" i="1"/>
  <c r="AI68" i="1"/>
  <c r="AL66" i="1"/>
  <c r="AI67" i="1"/>
  <c r="AI66" i="1"/>
  <c r="AI65" i="1"/>
  <c r="AL65" i="1"/>
  <c r="AB38" i="11"/>
  <c r="AK64" i="1" l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AE219" i="3" l="1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P31" i="11" l="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AE216" i="3" l="1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P25" i="11" l="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AB24" i="11" l="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AE211" i="3" l="1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5" i="1" l="1"/>
  <c r="G6" i="1"/>
  <c r="AB19" i="11"/>
  <c r="H16" i="15"/>
  <c r="H8" i="19"/>
  <c r="B7" i="19"/>
  <c r="C7" i="19"/>
  <c r="C6" i="19"/>
  <c r="AB18" i="11"/>
  <c r="G7" i="1" l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7" i="1" l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8" i="1" l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A9" i="1" l="1"/>
  <c r="G10" i="1"/>
  <c r="H20" i="15"/>
  <c r="F19" i="15"/>
  <c r="C19" i="15"/>
  <c r="B19" i="15"/>
  <c r="H12" i="19"/>
  <c r="C11" i="19"/>
  <c r="B11" i="19"/>
  <c r="AB9" i="11"/>
  <c r="AB8" i="11"/>
  <c r="A10" i="1" l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AE205" i="3" l="1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AC199" i="3" l="1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AC186" i="3" s="1"/>
  <c r="G183" i="3"/>
  <c r="J183" i="3"/>
  <c r="M183" i="3"/>
  <c r="AE183" i="3" s="1"/>
  <c r="N183" i="3"/>
  <c r="W183" i="3"/>
  <c r="X183" i="3"/>
  <c r="Y183" i="3"/>
  <c r="Z183" i="3"/>
  <c r="G182" i="3"/>
  <c r="I182" i="3"/>
  <c r="J182" i="3"/>
  <c r="M182" i="3"/>
  <c r="AE182" i="3" s="1"/>
  <c r="N182" i="3"/>
  <c r="W182" i="3"/>
  <c r="X182" i="3"/>
  <c r="Y182" i="3"/>
  <c r="Z182" i="3"/>
  <c r="G181" i="3"/>
  <c r="I181" i="3"/>
  <c r="M181" i="3"/>
  <c r="AE181" i="3" s="1"/>
  <c r="N181" i="3"/>
  <c r="W181" i="3"/>
  <c r="X181" i="3"/>
  <c r="Y181" i="3"/>
  <c r="Z181" i="3"/>
  <c r="G180" i="3"/>
  <c r="J180" i="3"/>
  <c r="M180" i="3"/>
  <c r="AE180" i="3" s="1"/>
  <c r="N180" i="3"/>
  <c r="W180" i="3"/>
  <c r="X180" i="3"/>
  <c r="Y180" i="3"/>
  <c r="Z180" i="3"/>
  <c r="G179" i="3"/>
  <c r="I179" i="3"/>
  <c r="M179" i="3"/>
  <c r="AE179" i="3" s="1"/>
  <c r="N179" i="3"/>
  <c r="W179" i="3"/>
  <c r="X179" i="3"/>
  <c r="Y179" i="3"/>
  <c r="Z179" i="3"/>
  <c r="G178" i="3"/>
  <c r="J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I185" i="3" l="1"/>
  <c r="I183" i="3"/>
  <c r="K183" i="3" s="1"/>
  <c r="J186" i="3"/>
  <c r="I186" i="3"/>
  <c r="I178" i="3"/>
  <c r="K178" i="3" s="1"/>
  <c r="J179" i="3"/>
  <c r="K179" i="3" s="1"/>
  <c r="J184" i="3"/>
  <c r="K184" i="3" s="1"/>
  <c r="AC184" i="3"/>
  <c r="I180" i="3"/>
  <c r="K180" i="3" s="1"/>
  <c r="J181" i="3"/>
  <c r="K181" i="3" s="1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K182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K185" i="3" l="1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C17" i="3" l="1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J5" i="11" l="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J196" i="3" l="1"/>
  <c r="I195" i="3"/>
  <c r="K195" i="3" s="1"/>
  <c r="I196" i="3"/>
  <c r="A17" i="1"/>
  <c r="G18" i="1"/>
  <c r="C19" i="19"/>
  <c r="B19" i="19"/>
  <c r="H20" i="19"/>
  <c r="F19" i="19"/>
  <c r="G19" i="19" s="1"/>
  <c r="C1" i="12"/>
  <c r="K196" i="3" l="1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K198" i="3" l="1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K199" i="3" l="1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K202" i="3" l="1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K7" i="11" l="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K205" i="3" l="1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G25" i="1" l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25" i="1" l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G27" i="1" l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G28" i="1" l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G29" i="1" l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G30" i="1" l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G31" i="1" l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G32" i="1" l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A32" i="1" l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A33" i="1" l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34" i="1" l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A35" i="1" l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A36" i="1" l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G38" i="1" l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G39" i="1" l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G40" i="1" l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40" i="1" l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41" i="1" l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G43" i="1" l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A43" i="1" l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A44" i="1" l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A45" i="1" l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G47" i="1" l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A47" i="1" l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A48" i="1" l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G50" i="1" l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G51" i="1" l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A51" i="1" l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A52" i="1" l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G54" i="1" l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54" i="1" l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G56" i="1" l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K212" i="3" l="1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G58" i="1" l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G59" i="1" l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K33" i="11" l="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G61" i="1" l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K36" i="11" l="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G63" i="1" l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G64" i="1" l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G65" i="1" l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G66" i="1" l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G67" i="1" l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G68" i="1" l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G69" i="1" l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G71" i="1" l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G72" i="1" l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G73" i="1" l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G74" i="1" l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G75" i="1" l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G76" i="1" l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G77" i="1" l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G78" i="1" l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G79" i="1" l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G80" i="1" l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G82" i="1" l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G83" i="1" l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G84" i="1" l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G85" i="1" l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G86" i="1" l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G87" i="1" l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G88" i="1" l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G89" i="1" l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G90" i="1" l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G91" i="1" l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G92" i="1" l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G93" i="1" l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G94" i="1" l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G95" i="1" l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G96" i="1" l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G97" i="1" l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G98" i="1" l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G99" i="1" l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G100" i="1" l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G101" i="1" l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G102" i="1" l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G104" i="1" l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G105" i="1" l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G106" i="1" l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G107" i="1" l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G108" i="1" l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G109" i="1" l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G111" i="1" l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G112" i="1" l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G113" i="1" l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G115" i="1" l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G116" i="1" l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G117" i="1" l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K220" i="3" l="1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O87" i="21" l="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O88" i="21" l="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O89" i="21" l="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O90" i="21" l="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O91" i="21" l="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O92" i="21" l="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O93" i="21" l="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R94" i="21" l="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O95" i="21" l="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O96" i="21" l="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O97" i="21" l="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O98" i="21" l="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O99" i="21" l="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O100" i="21" l="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O101" i="21" l="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O102" i="21" l="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O103" i="21" l="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O104" i="21" l="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O105" i="21" l="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O106" i="21" l="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O107" i="21" l="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O108" i="21" l="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O109" i="21" l="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O110" i="21" l="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O111" i="21" l="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O112" i="21" l="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O113" i="21" l="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O114" i="21" l="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O115" i="21" l="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O116" i="21" l="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O117" i="21" l="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O118" i="21" l="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O119" i="21" l="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O120" i="21" l="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O121" i="21" l="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O122" i="21" l="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O123" i="21" l="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O124" i="21" l="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O125" i="21" l="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O126" i="21" l="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O127" i="21" l="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O128" i="21" l="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O129" i="21" l="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O130" i="21" l="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O131" i="21" l="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O132" i="21" l="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O133" i="21" l="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O134" i="21" l="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O135" i="21" l="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O136" i="21" l="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O137" i="21" l="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O138" i="21" l="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O139" i="21" l="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O140" i="21" l="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O141" i="21" l="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R142" i="21" l="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O143" i="21" l="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<sst xmlns="http://schemas.openxmlformats.org/spreadsheetml/2006/main" count="4326" uniqueCount="1206">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</sst>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37">
    <xf numFmtId="0" fontId="0" fillId="0" borderId="0"/>
    <xf numFmtId="9" fontId="1" fillId="0" borderId="0" applyFont="0" applyFill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2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9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7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0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1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3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7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7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2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1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20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2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19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2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2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43" fontId="1" fillId="0" borderId="0" applyFont="0" applyFill="0" applyBorder="0" applyAlignment="0" applyProtection="0"/>
  </cellStyleXfs>
  <cellXfs count="238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8" fillId="23" borderId="9" xfId="0" applyFont="1" applyFill="1" applyBorder="1" applyAlignment="1">
      <alignment horizontal="center" vertical="center" wrapText="1"/>
    </xf>
    <xf numFmtId="167" fontId="18" fillId="23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8" fillId="23" borderId="11" xfId="0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0" fontId="24" fillId="23" borderId="15" xfId="0" applyFont="1" applyFill="1" applyBorder="1" applyAlignment="1">
      <alignment horizontal="center" vertical="center" wrapText="1"/>
    </xf>
    <xf numFmtId="167" fontId="24" fillId="23" borderId="11" xfId="0" applyNumberFormat="1" applyFont="1" applyFill="1" applyBorder="1" applyAlignment="1">
      <alignment horizontal="center" vertical="center" wrapText="1"/>
    </xf>
    <xf numFmtId="0" fontId="24" fillId="23" borderId="11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0" fillId="3" borderId="17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4" fillId="23" borderId="9" xfId="0" applyFont="1" applyFill="1" applyBorder="1" applyAlignment="1">
      <alignment horizontal="center" vertical="center" wrapText="1"/>
    </xf>
    <xf numFmtId="167" fontId="24" fillId="23" borderId="9" xfId="0" applyNumberFormat="1" applyFont="1" applyFill="1" applyBorder="1" applyAlignment="1">
      <alignment horizontal="center" vertical="center" wrapText="1"/>
    </xf>
    <xf numFmtId="0" fontId="32" fillId="23" borderId="9" xfId="0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1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4" fillId="23" borderId="12" xfId="0" applyNumberFormat="1" applyFont="1" applyFill="1" applyBorder="1" applyAlignment="1">
      <alignment horizontal="center" vertical="center" wrapText="1"/>
    </xf>
    <xf numFmtId="15" fontId="31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3" fillId="23" borderId="11" xfId="0" applyFont="1" applyFill="1" applyBorder="1" applyAlignment="1">
      <alignment horizontal="center" vertical="center" wrapText="1"/>
    </xf>
    <xf numFmtId="167" fontId="31" fillId="38" borderId="24" xfId="0" applyNumberFormat="1" applyFont="1" applyFill="1" applyBorder="1" applyAlignment="1">
      <alignment horizontal="center"/>
    </xf>
    <xf numFmtId="0" fontId="33" fillId="23" borderId="18" xfId="0" applyFont="1" applyFill="1" applyBorder="1" applyAlignment="1">
      <alignment horizontal="center" vertical="center" wrapText="1"/>
    </xf>
    <xf numFmtId="167" fontId="33" fillId="23" borderId="11" xfId="0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7" fillId="36" borderId="26" xfId="0" applyFont="1" applyFill="1" applyBorder="1" applyAlignment="1">
      <alignment horizontal="center" vertical="center" wrapText="1"/>
    </xf>
    <xf numFmtId="0" fontId="27" fillId="36" borderId="27" xfId="0" applyFont="1" applyFill="1" applyBorder="1" applyAlignment="1">
      <alignment horizontal="center" vertical="center" wrapText="1"/>
    </xf>
    <xf numFmtId="0" fontId="27" fillId="36" borderId="28" xfId="0" applyFont="1" applyFill="1" applyBorder="1" applyAlignment="1">
      <alignment horizontal="center" vertical="center" wrapText="1"/>
    </xf>
    <xf numFmtId="1" fontId="28" fillId="3" borderId="11" xfId="27311" applyNumberFormat="1" applyFont="1" applyFill="1" applyBorder="1" applyAlignment="1">
      <alignment horizontal="center" vertical="center"/>
    </xf>
    <xf numFmtId="166" fontId="28" fillId="3" borderId="11" xfId="1" applyNumberFormat="1" applyFont="1" applyFill="1" applyBorder="1" applyAlignment="1">
      <alignment horizontal="center" vertical="center"/>
    </xf>
    <xf numFmtId="1" fontId="28" fillId="3" borderId="41" xfId="27311" applyNumberFormat="1" applyFont="1" applyFill="1" applyBorder="1" applyAlignment="1">
      <alignment horizontal="center" vertical="center"/>
    </xf>
    <xf numFmtId="1" fontId="28" fillId="3" borderId="44" xfId="27311" applyNumberFormat="1" applyFont="1" applyFill="1" applyBorder="1" applyAlignment="1">
      <alignment horizontal="center" vertical="center"/>
    </xf>
    <xf numFmtId="166" fontId="28" fillId="3" borderId="41" xfId="1" applyNumberFormat="1" applyFont="1" applyFill="1" applyBorder="1" applyAlignment="1">
      <alignment horizontal="center" vertical="center"/>
    </xf>
    <xf numFmtId="166" fontId="28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4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4" fillId="40" borderId="0" xfId="0" applyFont="1" applyFill="1" applyAlignment="1">
      <alignment horizontal="center"/>
    </xf>
    <xf numFmtId="0" fontId="36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1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5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34036" applyFont="1"/>
    <xf numFmtId="3" fontId="0" fillId="0" borderId="9" xfId="0" applyNumberFormat="1" applyBorder="1"/>
    <xf numFmtId="2" fontId="0" fillId="0" borderId="9" xfId="0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4" fillId="40" borderId="47" xfId="0" applyFont="1" applyFill="1" applyBorder="1" applyAlignment="1">
      <alignment horizontal="center"/>
    </xf>
    <xf numFmtId="20" fontId="34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7" fillId="41" borderId="52" xfId="0" applyFont="1" applyFill="1" applyBorder="1" applyAlignment="1">
      <alignment horizontal="center"/>
    </xf>
    <xf numFmtId="17" fontId="37" fillId="41" borderId="52" xfId="0" applyNumberFormat="1" applyFont="1" applyFill="1" applyBorder="1" applyAlignment="1">
      <alignment horizontal="center"/>
    </xf>
    <xf numFmtId="15" fontId="37" fillId="41" borderId="52" xfId="0" applyNumberFormat="1" applyFont="1" applyFill="1" applyBorder="1"/>
    <xf numFmtId="0" fontId="37" fillId="41" borderId="9" xfId="0" applyFont="1" applyFill="1" applyBorder="1" applyAlignment="1">
      <alignment horizontal="center"/>
    </xf>
    <xf numFmtId="15" fontId="37" fillId="41" borderId="9" xfId="0" applyNumberFormat="1" applyFont="1" applyFill="1" applyBorder="1"/>
    <xf numFmtId="17" fontId="37" fillId="41" borderId="9" xfId="0" applyNumberFormat="1" applyFont="1" applyFill="1" applyBorder="1"/>
    <xf numFmtId="167" fontId="35" fillId="38" borderId="19" xfId="0" applyNumberFormat="1" applyFont="1" applyFill="1" applyBorder="1" applyAlignment="1">
      <alignment horizontal="center"/>
    </xf>
    <xf numFmtId="167" fontId="24" fillId="0" borderId="53" xfId="0" applyNumberFormat="1" applyFont="1" applyBorder="1" applyAlignment="1">
      <alignment horizontal="center" vertical="center" wrapText="1"/>
    </xf>
    <xf numFmtId="0" fontId="24" fillId="0" borderId="53" xfId="0" applyFont="1" applyBorder="1" applyAlignment="1">
      <alignment horizontal="center" vertical="center" wrapText="1"/>
    </xf>
    <xf numFmtId="0" fontId="11" fillId="0" borderId="53" xfId="0" applyFont="1" applyBorder="1" applyAlignment="1">
      <alignment horizontal="center" vertical="center" wrapText="1"/>
    </xf>
    <xf numFmtId="9" fontId="11" fillId="0" borderId="53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38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0" fontId="39" fillId="0" borderId="0" xfId="1" applyNumberFormat="1" applyFont="1" applyFill="1" applyAlignment="1">
      <alignment horizontal="center" vertical="center"/>
    </xf>
    <xf numFmtId="0" fontId="11" fillId="0" borderId="54" xfId="0" applyFont="1" applyBorder="1" applyAlignment="1">
      <alignment horizontal="center" vertical="center" wrapText="1"/>
    </xf>
    <xf numFmtId="1" fontId="0" fillId="0" borderId="55" xfId="34036" applyNumberFormat="1" applyFont="1" applyFill="1" applyBorder="1" applyAlignment="1">
      <alignment horizontal="center" vertical="center"/>
    </xf>
    <xf numFmtId="1" fontId="0" fillId="0" borderId="56" xfId="34036" applyNumberFormat="1" applyFont="1" applyFill="1" applyBorder="1" applyAlignment="1">
      <alignment horizontal="center" vertical="center"/>
    </xf>
    <xf numFmtId="17" fontId="0" fillId="0" borderId="55" xfId="34036" applyNumberFormat="1" applyFont="1" applyFill="1" applyBorder="1" applyAlignment="1">
      <alignment horizontal="center" vertical="center"/>
    </xf>
    <xf numFmtId="0" fontId="0" fillId="0" borderId="55" xfId="34036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165" fontId="0" fillId="0" borderId="55" xfId="0" applyNumberFormat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0" fontId="0" fillId="0" borderId="55" xfId="1" applyNumberFormat="1" applyFont="1" applyFill="1" applyBorder="1" applyAlignment="1">
      <alignment horizontal="center" vertical="center"/>
    </xf>
    <xf numFmtId="2" fontId="0" fillId="0" borderId="55" xfId="0" applyNumberFormat="1" applyBorder="1" applyAlignment="1">
      <alignment horizontal="center" vertical="center"/>
    </xf>
    <xf numFmtId="0" fontId="0" fillId="0" borderId="56" xfId="34036" applyNumberFormat="1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165" fontId="0" fillId="0" borderId="56" xfId="0" applyNumberFormat="1" applyBorder="1" applyAlignment="1">
      <alignment horizontal="center" vertical="center"/>
    </xf>
    <xf numFmtId="1" fontId="0" fillId="0" borderId="56" xfId="0" applyNumberFormat="1" applyBorder="1" applyAlignment="1">
      <alignment horizontal="center" vertical="center"/>
    </xf>
    <xf numFmtId="10" fontId="0" fillId="0" borderId="56" xfId="1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 wrapText="1"/>
    </xf>
    <xf numFmtId="10" fontId="39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8" fillId="3" borderId="41" xfId="1" applyNumberFormat="1" applyFont="1" applyFill="1" applyBorder="1" applyAlignment="1">
      <alignment horizontal="center" vertical="center"/>
    </xf>
    <xf numFmtId="2" fontId="28" fillId="3" borderId="11" xfId="1" applyNumberFormat="1" applyFont="1" applyFill="1" applyBorder="1" applyAlignment="1">
      <alignment horizontal="center" vertical="center"/>
    </xf>
    <xf numFmtId="2" fontId="28" fillId="3" borderId="44" xfId="1" applyNumberFormat="1" applyFont="1" applyFill="1" applyBorder="1" applyAlignment="1">
      <alignment horizontal="center" vertical="center"/>
    </xf>
    <xf numFmtId="20" fontId="34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4" fillId="40" borderId="47" xfId="0" applyFont="1" applyFill="1" applyBorder="1" applyAlignment="1">
      <alignment horizontal="center" vertical="center"/>
    </xf>
    <xf numFmtId="0" fontId="34" fillId="40" borderId="0" xfId="0" applyFont="1" applyFill="1" applyAlignment="1">
      <alignment horizontal="center" vertical="center"/>
    </xf>
    <xf numFmtId="0" fontId="34" fillId="40" borderId="0" xfId="0" applyFont="1" applyFill="1" applyAlignment="1">
      <alignment horizontal="center" vertical="center" wrapText="1"/>
    </xf>
    <xf numFmtId="20" fontId="34" fillId="40" borderId="48" xfId="0" applyNumberFormat="1" applyFont="1" applyFill="1" applyBorder="1" applyAlignment="1">
      <alignment horizontal="center" vertical="center"/>
    </xf>
    <xf numFmtId="20" fontId="34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1" fillId="23" borderId="12" xfId="0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0" applyFont="1" applyBorder="1" applyAlignment="1">
      <alignment horizontal="center" vertical="center" wrapText="1"/>
    </xf>
    <xf numFmtId="0" fontId="11" fillId="0" borderId="53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7" fillId="36" borderId="29" xfId="0" applyFont="1" applyFill="1" applyBorder="1" applyAlignment="1">
      <alignment vertical="center"/>
    </xf>
    <xf numFmtId="0" fontId="27" fillId="36" borderId="35" xfId="0" applyFont="1" applyFill="1" applyBorder="1" applyAlignment="1">
      <alignment vertical="center"/>
    </xf>
    <xf numFmtId="0" fontId="29" fillId="3" borderId="17" xfId="0" applyFont="1" applyFill="1" applyBorder="1" applyAlignment="1">
      <alignment vertical="center"/>
    </xf>
    <xf numFmtId="0" fontId="29" fillId="3" borderId="41" xfId="0" applyFont="1" applyFill="1" applyBorder="1" applyAlignment="1">
      <alignment vertical="center"/>
    </xf>
    <xf numFmtId="3" fontId="29" fillId="3" borderId="41" xfId="0" applyNumberFormat="1" applyFont="1" applyFill="1" applyBorder="1" applyAlignment="1">
      <alignment horizontal="center" vertical="center"/>
    </xf>
    <xf numFmtId="10" fontId="29" fillId="3" borderId="41" xfId="25094" applyNumberFormat="1" applyFont="1" applyFill="1" applyBorder="1" applyAlignment="1">
      <alignment horizontal="center" vertical="center"/>
    </xf>
    <xf numFmtId="0" fontId="29" fillId="3" borderId="42" xfId="0" applyFont="1" applyFill="1" applyBorder="1" applyAlignment="1" applyProtection="1">
      <alignment vertical="center"/>
      <protection locked="0"/>
    </xf>
    <xf numFmtId="0" fontId="29" fillId="3" borderId="11" xfId="0" applyFont="1" applyFill="1" applyBorder="1" applyAlignment="1">
      <alignment vertical="center"/>
    </xf>
    <xf numFmtId="1" fontId="29" fillId="3" borderId="11" xfId="0" applyNumberFormat="1" applyFont="1" applyFill="1" applyBorder="1" applyAlignment="1">
      <alignment horizontal="center" vertical="center"/>
    </xf>
    <xf numFmtId="10" fontId="29" fillId="3" borderId="11" xfId="25094" applyNumberFormat="1" applyFont="1" applyFill="1" applyBorder="1" applyAlignment="1">
      <alignment horizontal="center" vertical="center"/>
    </xf>
    <xf numFmtId="0" fontId="29" fillId="3" borderId="39" xfId="0" applyFont="1" applyFill="1" applyBorder="1" applyAlignment="1" applyProtection="1">
      <alignment vertical="center"/>
      <protection locked="0"/>
    </xf>
    <xf numFmtId="0" fontId="29" fillId="3" borderId="44" xfId="0" applyFont="1" applyFill="1" applyBorder="1" applyAlignment="1">
      <alignment vertical="center"/>
    </xf>
    <xf numFmtId="1" fontId="29" fillId="3" borderId="44" xfId="0" applyNumberFormat="1" applyFont="1" applyFill="1" applyBorder="1" applyAlignment="1">
      <alignment horizontal="center" vertical="center"/>
    </xf>
    <xf numFmtId="10" fontId="29" fillId="3" borderId="44" xfId="25094" applyNumberFormat="1" applyFont="1" applyFill="1" applyBorder="1" applyAlignment="1">
      <alignment horizontal="center" vertical="center"/>
    </xf>
    <xf numFmtId="0" fontId="29" fillId="3" borderId="45" xfId="0" applyFont="1" applyFill="1" applyBorder="1" applyAlignment="1" applyProtection="1">
      <alignment vertical="center"/>
      <protection locked="0"/>
    </xf>
    <xf numFmtId="166" fontId="29" fillId="3" borderId="41" xfId="1" applyNumberFormat="1" applyFont="1" applyFill="1" applyBorder="1" applyAlignment="1">
      <alignment horizontal="center" vertical="center"/>
    </xf>
    <xf numFmtId="1" fontId="29" fillId="3" borderId="42" xfId="0" applyNumberFormat="1" applyFont="1" applyFill="1" applyBorder="1" applyAlignment="1" applyProtection="1">
      <alignment vertical="center"/>
      <protection locked="0"/>
    </xf>
    <xf numFmtId="166" fontId="29" fillId="3" borderId="1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2" fontId="29" fillId="3" borderId="41" xfId="0" applyNumberFormat="1" applyFont="1" applyFill="1" applyBorder="1" applyAlignment="1">
      <alignment horizontal="center" vertical="center"/>
    </xf>
    <xf numFmtId="0" fontId="29" fillId="3" borderId="42" xfId="0" applyFont="1" applyFill="1" applyBorder="1" applyAlignment="1" applyProtection="1">
      <alignment vertical="center" wrapText="1"/>
      <protection locked="0"/>
    </xf>
    <xf numFmtId="2" fontId="29" fillId="3" borderId="11" xfId="0" applyNumberFormat="1" applyFont="1" applyFill="1" applyBorder="1" applyAlignment="1">
      <alignment horizontal="center" vertical="center"/>
    </xf>
    <xf numFmtId="0" fontId="29" fillId="3" borderId="39" xfId="0" applyFont="1" applyFill="1" applyBorder="1" applyAlignment="1" applyProtection="1">
      <alignment vertical="center" wrapText="1"/>
      <protection locked="0"/>
    </xf>
    <xf numFmtId="2" fontId="29" fillId="3" borderId="44" xfId="0" applyNumberFormat="1" applyFont="1" applyFill="1" applyBorder="1" applyAlignment="1">
      <alignment horizontal="center" vertical="center"/>
    </xf>
    <xf numFmtId="0" fontId="29" fillId="3" borderId="45" xfId="0" applyFont="1" applyFill="1" applyBorder="1" applyAlignment="1" applyProtection="1">
      <alignment vertical="center" wrapText="1"/>
      <protection locked="0"/>
    </xf>
    <xf numFmtId="9" fontId="0" fillId="0" borderId="0" xfId="1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4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4" fontId="0" fillId="0" borderId="0" xfId="1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>
      <alignment horizontal="center" vertical="center"/>
    </xf>
    <xf numFmtId="0" fontId="29" fillId="3" borderId="38" xfId="0" applyFont="1" applyFill="1" applyBorder="1" applyAlignment="1">
      <alignment horizontal="center" vertical="center"/>
    </xf>
    <xf numFmtId="0" fontId="29" fillId="3" borderId="43" xfId="0" applyFont="1" applyFill="1" applyBorder="1" applyAlignment="1">
      <alignment horizontal="center" vertical="center"/>
    </xf>
    <xf numFmtId="167" fontId="28" fillId="3" borderId="36" xfId="27311" applyNumberFormat="1" applyFont="1" applyFill="1" applyBorder="1" applyAlignment="1">
      <alignment horizontal="left" vertical="center"/>
    </xf>
    <xf numFmtId="167" fontId="28" fillId="3" borderId="37" xfId="27311" applyNumberFormat="1" applyFont="1" applyFill="1" applyBorder="1" applyAlignment="1">
      <alignment horizontal="left" vertical="center"/>
    </xf>
    <xf numFmtId="0" fontId="26" fillId="36" borderId="26" xfId="0" applyFont="1" applyFill="1" applyBorder="1" applyAlignment="1">
      <alignment horizontal="center" vertical="center"/>
    </xf>
    <xf numFmtId="0" fontId="26" fillId="36" borderId="27" xfId="0" applyFont="1" applyFill="1" applyBorder="1" applyAlignment="1">
      <alignment horizontal="center" vertical="center"/>
    </xf>
    <xf numFmtId="0" fontId="26" fillId="36" borderId="28" xfId="0" applyFont="1" applyFill="1" applyBorder="1" applyAlignment="1">
      <alignment horizontal="center" vertical="center"/>
    </xf>
    <xf numFmtId="170" fontId="28" fillId="3" borderId="32" xfId="27311" applyNumberFormat="1" applyFont="1" applyFill="1" applyBorder="1" applyAlignment="1" applyProtection="1">
      <alignment horizontal="left" vertical="center"/>
      <protection locked="0"/>
    </xf>
    <xf numFmtId="170" fontId="28" fillId="3" borderId="33" xfId="27311" applyNumberFormat="1" applyFont="1" applyFill="1" applyBorder="1" applyAlignment="1" applyProtection="1">
      <alignment horizontal="left" vertical="center"/>
      <protection locked="0"/>
    </xf>
    <xf numFmtId="170" fontId="28" fillId="3" borderId="34" xfId="27311" applyNumberFormat="1" applyFont="1" applyFill="1" applyBorder="1" applyAlignment="1" applyProtection="1">
      <alignment horizontal="left" vertical="center"/>
      <protection locked="0"/>
    </xf>
    <xf numFmtId="167" fontId="28" fillId="3" borderId="30" xfId="27311" applyNumberFormat="1" applyFont="1" applyFill="1" applyBorder="1" applyAlignment="1" applyProtection="1">
      <alignment horizontal="left" vertical="center"/>
      <protection locked="0"/>
    </xf>
    <xf numFmtId="167" fontId="28" fillId="3" borderId="31" xfId="27311" applyNumberFormat="1" applyFont="1" applyFill="1" applyBorder="1" applyAlignment="1" applyProtection="1">
      <alignment horizontal="left" vertical="center"/>
      <protection locked="0"/>
    </xf>
    <xf numFmtId="1" fontId="29" fillId="3" borderId="30" xfId="0" applyNumberFormat="1" applyFont="1" applyFill="1" applyBorder="1" applyAlignment="1">
      <alignment horizontal="left" vertical="center"/>
    </xf>
    <xf numFmtId="1" fontId="29" fillId="3" borderId="31" xfId="0" applyNumberFormat="1" applyFont="1" applyFill="1" applyBorder="1" applyAlignment="1">
      <alignment horizontal="left" vertical="center"/>
    </xf>
    <xf numFmtId="167" fontId="28" fillId="3" borderId="32" xfId="27311" applyNumberFormat="1" applyFont="1" applyFill="1" applyBorder="1" applyAlignment="1">
      <alignment horizontal="left" vertical="center"/>
    </xf>
    <xf numFmtId="167" fontId="28" fillId="3" borderId="33" xfId="27311" applyNumberFormat="1" applyFont="1" applyFill="1" applyBorder="1" applyAlignment="1">
      <alignment horizontal="left" vertical="center"/>
    </xf>
    <xf numFmtId="167" fontId="28" fillId="3" borderId="34" xfId="27311" applyNumberFormat="1" applyFont="1" applyFill="1" applyBorder="1" applyAlignment="1">
      <alignment horizontal="left" vertical="center"/>
    </xf>
    <xf numFmtId="0" fontId="25" fillId="34" borderId="9" xfId="0" applyFont="1" applyFill="1" applyBorder="1" applyAlignment="1">
      <alignment horizontal="center" vertical="center"/>
    </xf>
    <xf numFmtId="0" fontId="42" fillId="41" borderId="9" xfId="0" applyFont="1" applyFill="1" applyBorder="1" applyAlignment="1">
      <alignment horizontal="center"/>
    </xf>
    <xf numFmtId="17" fontId="42" fillId="41" borderId="9" xfId="0" applyNumberFormat="1" applyFont="1" applyFill="1" applyBorder="1"/>
    <xf numFmtId="0" fontId="42" fillId="41" borderId="52" xfId="0" applyFont="1" applyFill="1" applyBorder="1" applyAlignment="1">
      <alignment horizontal="center"/>
    </xf>
    <xf numFmtId="17" fontId="42" fillId="41" borderId="52" xfId="0" applyNumberFormat="1" applyFont="1" applyFill="1" applyBorder="1" applyAlignment="1">
      <alignment horizontal="center"/>
    </xf>
  </cellXfs>
  <cellStyles count="34037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6" builtinId="3"/>
    <cellStyle name="Comma 2" xfId="13193" xr:uid="{00000000-0005-0000-0000-000015600000}"/>
    <cellStyle name="Comma 3" xfId="20776" xr:uid="{00000000-0005-0000-0000-000016600000}"/>
    <cellStyle name="Comma 4" xfId="20794" xr:uid="{00000000-0005-0000-0000-000017600000}"/>
    <cellStyle name="Comma 5" xfId="20803" xr:uid="{00000000-0005-0000-0000-000018600000}"/>
    <cellStyle name="Comma 6" xfId="33911" xr:uid="{00000000-0005-0000-0000-000019600000}"/>
    <cellStyle name="Excel Built-in Normal" xfId="26536" xr:uid="{00000000-0005-0000-0000-00001A600000}"/>
    <cellStyle name="Excel Built-in Normal 2" xfId="30008" xr:uid="{00000000-0005-0000-0000-00001B600000}"/>
    <cellStyle name="Explanatory Text 2" xfId="11423" xr:uid="{00000000-0005-0000-0000-00001C600000}"/>
    <cellStyle name="Good 2" xfId="7966" xr:uid="{00000000-0005-0000-0000-00001D600000}"/>
    <cellStyle name="Heading 1 2" xfId="27945" xr:uid="{00000000-0005-0000-0000-00001E600000}"/>
    <cellStyle name="Heading 2 2" xfId="27947" xr:uid="{00000000-0005-0000-0000-00001F600000}"/>
    <cellStyle name="Heading 3 2" xfId="29981" xr:uid="{00000000-0005-0000-0000-000020600000}"/>
    <cellStyle name="Heading 4 2" xfId="3106" xr:uid="{00000000-0005-0000-0000-000021600000}"/>
    <cellStyle name="Input 2" xfId="22623" xr:uid="{00000000-0005-0000-0000-000022600000}"/>
    <cellStyle name="Linked Cell 2" xfId="7873" xr:uid="{00000000-0005-0000-0000-000023600000}"/>
    <cellStyle name="Neutral 2" xfId="18022" xr:uid="{00000000-0005-0000-0000-000024600000}"/>
    <cellStyle name="Neutral 3" xfId="26166" xr:uid="{00000000-0005-0000-0000-000025600000}"/>
    <cellStyle name="Normal" xfId="0" builtinId="0"/>
    <cellStyle name="Normal 10" xfId="17312" xr:uid="{00000000-0005-0000-0000-000027600000}"/>
    <cellStyle name="Normal 10 2" xfId="17038" xr:uid="{00000000-0005-0000-0000-000028600000}"/>
    <cellStyle name="Normal 11" xfId="11204" xr:uid="{00000000-0005-0000-0000-000029600000}"/>
    <cellStyle name="Normal 11 2" xfId="30020" xr:uid="{00000000-0005-0000-0000-00002A600000}"/>
    <cellStyle name="Normal 11 2 2" xfId="14479" xr:uid="{00000000-0005-0000-0000-00002B600000}"/>
    <cellStyle name="Normal 11 2 2 2" xfId="33646" xr:uid="{00000000-0005-0000-0000-00002C600000}"/>
    <cellStyle name="Normal 11 2 2 2 2" xfId="2181" xr:uid="{00000000-0005-0000-0000-00002D600000}"/>
    <cellStyle name="Normal 11 2 2 2 2 2" xfId="24840" xr:uid="{00000000-0005-0000-0000-00002E600000}"/>
    <cellStyle name="Normal 11 2 2 2 2 2 2" xfId="27138" xr:uid="{00000000-0005-0000-0000-00002F600000}"/>
    <cellStyle name="Normal 11 2 2 2 2 2 2 2" xfId="19132" xr:uid="{00000000-0005-0000-0000-000030600000}"/>
    <cellStyle name="Normal 11 2 2 2 2 2 3" xfId="27143" xr:uid="{00000000-0005-0000-0000-000031600000}"/>
    <cellStyle name="Normal 11 2 2 2 2 3" xfId="24849" xr:uid="{00000000-0005-0000-0000-000032600000}"/>
    <cellStyle name="Normal 11 2 2 2 2 3 2" xfId="27146" xr:uid="{00000000-0005-0000-0000-000033600000}"/>
    <cellStyle name="Normal 11 2 2 2 2 4" xfId="26885" xr:uid="{00000000-0005-0000-0000-000034600000}"/>
    <cellStyle name="Normal 11 2 2 2 3" xfId="18881" xr:uid="{00000000-0005-0000-0000-000035600000}"/>
    <cellStyle name="Normal 11 2 2 2 3 2" xfId="18886" xr:uid="{00000000-0005-0000-0000-000036600000}"/>
    <cellStyle name="Normal 11 2 2 2 3 2 2" xfId="14711" xr:uid="{00000000-0005-0000-0000-000037600000}"/>
    <cellStyle name="Normal 11 2 2 2 3 3" xfId="18901" xr:uid="{00000000-0005-0000-0000-000038600000}"/>
    <cellStyle name="Normal 11 2 2 2 4" xfId="12988" xr:uid="{00000000-0005-0000-0000-000039600000}"/>
    <cellStyle name="Normal 11 2 2 2 4 2" xfId="24041" xr:uid="{00000000-0005-0000-0000-00003A600000}"/>
    <cellStyle name="Normal 11 2 2 2 5" xfId="19161" xr:uid="{00000000-0005-0000-0000-00003B600000}"/>
    <cellStyle name="Normal 11 2 2 3" xfId="9766" xr:uid="{00000000-0005-0000-0000-00003C600000}"/>
    <cellStyle name="Normal 11 2 2 3 2" xfId="27148" xr:uid="{00000000-0005-0000-0000-00003D600000}"/>
    <cellStyle name="Normal 11 2 2 3 2 2" xfId="24183" xr:uid="{00000000-0005-0000-0000-00003E600000}"/>
    <cellStyle name="Normal 11 2 2 3 2 2 2" xfId="17562" xr:uid="{00000000-0005-0000-0000-00003F600000}"/>
    <cellStyle name="Normal 11 2 2 3 2 3" xfId="8752" xr:uid="{00000000-0005-0000-0000-000040600000}"/>
    <cellStyle name="Normal 11 2 2 3 3" xfId="18919" xr:uid="{00000000-0005-0000-0000-000041600000}"/>
    <cellStyle name="Normal 11 2 2 3 3 2" xfId="24070" xr:uid="{00000000-0005-0000-0000-000042600000}"/>
    <cellStyle name="Normal 11 2 2 3 4" xfId="22601" xr:uid="{00000000-0005-0000-0000-000043600000}"/>
    <cellStyle name="Normal 11 2 2 4" xfId="25091" xr:uid="{00000000-0005-0000-0000-000044600000}"/>
    <cellStyle name="Normal 11 2 2 4 2" xfId="26696" xr:uid="{00000000-0005-0000-0000-000045600000}"/>
    <cellStyle name="Normal 11 2 2 4 2 2" xfId="26455" xr:uid="{00000000-0005-0000-0000-000046600000}"/>
    <cellStyle name="Normal 11 2 2 4 3" xfId="18935" xr:uid="{00000000-0005-0000-0000-000047600000}"/>
    <cellStyle name="Normal 11 2 2 5" xfId="26804" xr:uid="{00000000-0005-0000-0000-000048600000}"/>
    <cellStyle name="Normal 11 2 2 5 2" xfId="14828" xr:uid="{00000000-0005-0000-0000-000049600000}"/>
    <cellStyle name="Normal 11 2 2 6" xfId="11758" xr:uid="{00000000-0005-0000-0000-00004A600000}"/>
    <cellStyle name="Normal 11 2 3" xfId="946" xr:uid="{00000000-0005-0000-0000-00004B600000}"/>
    <cellStyle name="Normal 11 2 3 2" xfId="33305" xr:uid="{00000000-0005-0000-0000-00004C600000}"/>
    <cellStyle name="Normal 11 2 3 2 2" xfId="27150" xr:uid="{00000000-0005-0000-0000-00004D600000}"/>
    <cellStyle name="Normal 11 2 3 2 2 2" xfId="10085" xr:uid="{00000000-0005-0000-0000-00004E600000}"/>
    <cellStyle name="Normal 11 2 3 2 2 2 2" xfId="27156" xr:uid="{00000000-0005-0000-0000-00004F600000}"/>
    <cellStyle name="Normal 11 2 3 2 2 3" xfId="27161" xr:uid="{00000000-0005-0000-0000-000050600000}"/>
    <cellStyle name="Normal 11 2 3 2 3" xfId="19117" xr:uid="{00000000-0005-0000-0000-000051600000}"/>
    <cellStyle name="Normal 11 2 3 2 3 2" xfId="1688" xr:uid="{00000000-0005-0000-0000-000052600000}"/>
    <cellStyle name="Normal 11 2 3 2 4" xfId="22802" xr:uid="{00000000-0005-0000-0000-000053600000}"/>
    <cellStyle name="Normal 11 2 3 3" xfId="30731" xr:uid="{00000000-0005-0000-0000-000054600000}"/>
    <cellStyle name="Normal 11 2 3 3 2" xfId="27873" xr:uid="{00000000-0005-0000-0000-000055600000}"/>
    <cellStyle name="Normal 11 2 3 3 2 2" xfId="24492" xr:uid="{00000000-0005-0000-0000-000056600000}"/>
    <cellStyle name="Normal 11 2 3 3 3" xfId="19867" xr:uid="{00000000-0005-0000-0000-000057600000}"/>
    <cellStyle name="Normal 11 2 3 4" xfId="30331" xr:uid="{00000000-0005-0000-0000-000058600000}"/>
    <cellStyle name="Normal 11 2 3 4 2" xfId="20310" xr:uid="{00000000-0005-0000-0000-000059600000}"/>
    <cellStyle name="Normal 11 2 3 5" xfId="29532" xr:uid="{00000000-0005-0000-0000-00005A600000}"/>
    <cellStyle name="Normal 11 2 4" xfId="31973" xr:uid="{00000000-0005-0000-0000-00005B600000}"/>
    <cellStyle name="Normal 11 2 4 2" xfId="17457" xr:uid="{00000000-0005-0000-0000-00005C600000}"/>
    <cellStyle name="Normal 11 2 4 2 2" xfId="6417" xr:uid="{00000000-0005-0000-0000-00005D600000}"/>
    <cellStyle name="Normal 11 2 4 2 2 2" xfId="6424" xr:uid="{00000000-0005-0000-0000-00005E600000}"/>
    <cellStyle name="Normal 11 2 4 2 3" xfId="6428" xr:uid="{00000000-0005-0000-0000-00005F600000}"/>
    <cellStyle name="Normal 11 2 4 3" xfId="17460" xr:uid="{00000000-0005-0000-0000-000060600000}"/>
    <cellStyle name="Normal 11 2 4 3 2" xfId="24945" xr:uid="{00000000-0005-0000-0000-000061600000}"/>
    <cellStyle name="Normal 11 2 4 4" xfId="5694" xr:uid="{00000000-0005-0000-0000-000062600000}"/>
    <cellStyle name="Normal 11 2 5" xfId="27166" xr:uid="{00000000-0005-0000-0000-000063600000}"/>
    <cellStyle name="Normal 11 2 5 2" xfId="17882" xr:uid="{00000000-0005-0000-0000-000064600000}"/>
    <cellStyle name="Normal 11 2 5 2 2" xfId="4859" xr:uid="{00000000-0005-0000-0000-000065600000}"/>
    <cellStyle name="Normal 11 2 5 3" xfId="6075" xr:uid="{00000000-0005-0000-0000-000066600000}"/>
    <cellStyle name="Normal 11 2 6" xfId="14037" xr:uid="{00000000-0005-0000-0000-000067600000}"/>
    <cellStyle name="Normal 11 2 6 2" xfId="18239" xr:uid="{00000000-0005-0000-0000-000068600000}"/>
    <cellStyle name="Normal 11 2 7" xfId="11325" xr:uid="{00000000-0005-0000-0000-000069600000}"/>
    <cellStyle name="Normal 11 2 8" xfId="10397" xr:uid="{00000000-0005-0000-0000-00006A600000}"/>
    <cellStyle name="Normal 11 3" xfId="33681" xr:uid="{00000000-0005-0000-0000-00006B600000}"/>
    <cellStyle name="Normal 11 3 2" xfId="27168" xr:uid="{00000000-0005-0000-0000-00006C600000}"/>
    <cellStyle name="Normal 11 3 2 2" xfId="27169" xr:uid="{00000000-0005-0000-0000-00006D600000}"/>
    <cellStyle name="Normal 11 3 2 2 2" xfId="27430" xr:uid="{00000000-0005-0000-0000-00006E600000}"/>
    <cellStyle name="Normal 11 3 2 2 2 2" xfId="24861" xr:uid="{00000000-0005-0000-0000-00006F600000}"/>
    <cellStyle name="Normal 11 3 2 2 2 2 2" xfId="27172" xr:uid="{00000000-0005-0000-0000-000070600000}"/>
    <cellStyle name="Normal 11 3 2 2 2 3" xfId="27725" xr:uid="{00000000-0005-0000-0000-000071600000}"/>
    <cellStyle name="Normal 11 3 2 2 3" xfId="19549" xr:uid="{00000000-0005-0000-0000-000072600000}"/>
    <cellStyle name="Normal 11 3 2 2 3 2" xfId="22624" xr:uid="{00000000-0005-0000-0000-000073600000}"/>
    <cellStyle name="Normal 11 3 2 2 4" xfId="19553" xr:uid="{00000000-0005-0000-0000-000074600000}"/>
    <cellStyle name="Normal 11 3 2 3" xfId="25098" xr:uid="{00000000-0005-0000-0000-000075600000}"/>
    <cellStyle name="Normal 11 3 2 3 2" xfId="27178" xr:uid="{00000000-0005-0000-0000-000076600000}"/>
    <cellStyle name="Normal 11 3 2 3 2 2" xfId="27182" xr:uid="{00000000-0005-0000-0000-000077600000}"/>
    <cellStyle name="Normal 11 3 2 3 3" xfId="19578" xr:uid="{00000000-0005-0000-0000-000078600000}"/>
    <cellStyle name="Normal 11 3 2 4" xfId="28242" xr:uid="{00000000-0005-0000-0000-000079600000}"/>
    <cellStyle name="Normal 11 3 2 4 2" xfId="9753" xr:uid="{00000000-0005-0000-0000-00007A600000}"/>
    <cellStyle name="Normal 11 3 2 5" xfId="29075" xr:uid="{00000000-0005-0000-0000-00007B600000}"/>
    <cellStyle name="Normal 11 3 3" xfId="31029" xr:uid="{00000000-0005-0000-0000-00007C600000}"/>
    <cellStyle name="Normal 11 3 3 2" xfId="28639" xr:uid="{00000000-0005-0000-0000-00007D600000}"/>
    <cellStyle name="Normal 11 3 3 2 2" xfId="27189" xr:uid="{00000000-0005-0000-0000-00007E600000}"/>
    <cellStyle name="Normal 11 3 3 2 2 2" xfId="16419" xr:uid="{00000000-0005-0000-0000-00007F600000}"/>
    <cellStyle name="Normal 11 3 3 2 3" xfId="19673" xr:uid="{00000000-0005-0000-0000-000080600000}"/>
    <cellStyle name="Normal 11 3 3 3" xfId="31999" xr:uid="{00000000-0005-0000-0000-000081600000}"/>
    <cellStyle name="Normal 11 3 3 3 2" xfId="29610" xr:uid="{00000000-0005-0000-0000-000082600000}"/>
    <cellStyle name="Normal 11 3 3 4" xfId="32003" xr:uid="{00000000-0005-0000-0000-000083600000}"/>
    <cellStyle name="Normal 11 3 4" xfId="27193" xr:uid="{00000000-0005-0000-0000-000084600000}"/>
    <cellStyle name="Normal 11 3 4 2" xfId="20689" xr:uid="{00000000-0005-0000-0000-000085600000}"/>
    <cellStyle name="Normal 11 3 4 2 2" xfId="6542" xr:uid="{00000000-0005-0000-0000-000086600000}"/>
    <cellStyle name="Normal 11 3 4 3" xfId="19315" xr:uid="{00000000-0005-0000-0000-000087600000}"/>
    <cellStyle name="Normal 11 3 5" xfId="25820" xr:uid="{00000000-0005-0000-0000-000088600000}"/>
    <cellStyle name="Normal 11 3 5 2" xfId="19786" xr:uid="{00000000-0005-0000-0000-000089600000}"/>
    <cellStyle name="Normal 11 3 6" xfId="18856" xr:uid="{00000000-0005-0000-0000-00008A600000}"/>
    <cellStyle name="Normal 11 4" xfId="30285" xr:uid="{00000000-0005-0000-0000-00008B600000}"/>
    <cellStyle name="Normal 11 4 2" xfId="32544" xr:uid="{00000000-0005-0000-0000-00008C600000}"/>
    <cellStyle name="Normal 11 4 2 2" xfId="24187" xr:uid="{00000000-0005-0000-0000-00008D600000}"/>
    <cellStyle name="Normal 11 4 2 2 2" xfId="6030" xr:uid="{00000000-0005-0000-0000-00008E600000}"/>
    <cellStyle name="Normal 11 4 2 2 2 2" xfId="28459" xr:uid="{00000000-0005-0000-0000-00008F600000}"/>
    <cellStyle name="Normal 11 4 2 2 3" xfId="19897" xr:uid="{00000000-0005-0000-0000-000090600000}"/>
    <cellStyle name="Normal 11 4 2 3" xfId="6666" xr:uid="{00000000-0005-0000-0000-000091600000}"/>
    <cellStyle name="Normal 11 4 2 3 2" xfId="27513" xr:uid="{00000000-0005-0000-0000-000092600000}"/>
    <cellStyle name="Normal 11 4 2 4" xfId="28467" xr:uid="{00000000-0005-0000-0000-000093600000}"/>
    <cellStyle name="Normal 11 4 3" xfId="712" xr:uid="{00000000-0005-0000-0000-000094600000}"/>
    <cellStyle name="Normal 11 4 3 2" xfId="6692" xr:uid="{00000000-0005-0000-0000-000095600000}"/>
    <cellStyle name="Normal 11 4 3 2 2" xfId="33411" xr:uid="{00000000-0005-0000-0000-000096600000}"/>
    <cellStyle name="Normal 11 4 3 3" xfId="31651" xr:uid="{00000000-0005-0000-0000-000097600000}"/>
    <cellStyle name="Normal 11 4 4" xfId="14178" xr:uid="{00000000-0005-0000-0000-000098600000}"/>
    <cellStyle name="Normal 11 4 4 2" xfId="19488" xr:uid="{00000000-0005-0000-0000-000099600000}"/>
    <cellStyle name="Normal 11 4 5" xfId="18858" xr:uid="{00000000-0005-0000-0000-00009A600000}"/>
    <cellStyle name="Normal 11 5" xfId="32329" xr:uid="{00000000-0005-0000-0000-00009B600000}"/>
    <cellStyle name="Normal 11 5 2" xfId="20077" xr:uid="{00000000-0005-0000-0000-00009C600000}"/>
    <cellStyle name="Normal 11 5 2 2" xfId="24291" xr:uid="{00000000-0005-0000-0000-00009D600000}"/>
    <cellStyle name="Normal 11 5 2 2 2" xfId="18381" xr:uid="{00000000-0005-0000-0000-00009E600000}"/>
    <cellStyle name="Normal 11 5 2 3" xfId="16953" xr:uid="{00000000-0005-0000-0000-00009F600000}"/>
    <cellStyle name="Normal 11 5 3" xfId="14191" xr:uid="{00000000-0005-0000-0000-0000A0600000}"/>
    <cellStyle name="Normal 11 5 3 2" xfId="24628" xr:uid="{00000000-0005-0000-0000-0000A1600000}"/>
    <cellStyle name="Normal 11 5 4" xfId="7954" xr:uid="{00000000-0005-0000-0000-0000A2600000}"/>
    <cellStyle name="Normal 11 6" xfId="13035" xr:uid="{00000000-0005-0000-0000-0000A3600000}"/>
    <cellStyle name="Normal 11 6 2" xfId="14195" xr:uid="{00000000-0005-0000-0000-0000A4600000}"/>
    <cellStyle name="Normal 11 6 2 2" xfId="24404" xr:uid="{00000000-0005-0000-0000-0000A5600000}"/>
    <cellStyle name="Normal 11 6 3" xfId="1730" xr:uid="{00000000-0005-0000-0000-0000A6600000}"/>
    <cellStyle name="Normal 11 7" xfId="11015" xr:uid="{00000000-0005-0000-0000-0000A7600000}"/>
    <cellStyle name="Normal 11 7 2" xfId="5115" xr:uid="{00000000-0005-0000-0000-0000A8600000}"/>
    <cellStyle name="Normal 11 8" xfId="10139" xr:uid="{00000000-0005-0000-0000-0000A9600000}"/>
    <cellStyle name="Normal 11 9" xfId="27198" xr:uid="{00000000-0005-0000-0000-0000AA600000}"/>
    <cellStyle name="Normal 12" xfId="11712" xr:uid="{00000000-0005-0000-0000-0000AB600000}"/>
    <cellStyle name="Normal 13" xfId="28009" xr:uid="{00000000-0005-0000-0000-0000AC600000}"/>
    <cellStyle name="Normal 13 2" xfId="1142" xr:uid="{00000000-0005-0000-0000-0000AD600000}"/>
    <cellStyle name="Normal 13 2 2" xfId="20880" xr:uid="{00000000-0005-0000-0000-0000AE600000}"/>
    <cellStyle name="Normal 13 2 2 2" xfId="29630" xr:uid="{00000000-0005-0000-0000-0000AF600000}"/>
    <cellStyle name="Normal 13 2 2 2 2" xfId="29743" xr:uid="{00000000-0005-0000-0000-0000B0600000}"/>
    <cellStyle name="Normal 13 2 2 2 2 2" xfId="24673" xr:uid="{00000000-0005-0000-0000-0000B1600000}"/>
    <cellStyle name="Normal 13 2 2 2 2 2 2" xfId="20927" xr:uid="{00000000-0005-0000-0000-0000B2600000}"/>
    <cellStyle name="Normal 13 2 2 2 2 3" xfId="27201" xr:uid="{00000000-0005-0000-0000-0000B3600000}"/>
    <cellStyle name="Normal 13 2 2 2 3" xfId="23781" xr:uid="{00000000-0005-0000-0000-0000B4600000}"/>
    <cellStyle name="Normal 13 2 2 2 3 2" xfId="19731" xr:uid="{00000000-0005-0000-0000-0000B5600000}"/>
    <cellStyle name="Normal 13 2 2 2 4" xfId="23820" xr:uid="{00000000-0005-0000-0000-0000B6600000}"/>
    <cellStyle name="Normal 13 2 2 3" xfId="3716" xr:uid="{00000000-0005-0000-0000-0000B7600000}"/>
    <cellStyle name="Normal 13 2 2 3 2" xfId="27205" xr:uid="{00000000-0005-0000-0000-0000B8600000}"/>
    <cellStyle name="Normal 13 2 2 3 2 2" xfId="19932" xr:uid="{00000000-0005-0000-0000-0000B9600000}"/>
    <cellStyle name="Normal 13 2 2 3 3" xfId="8767" xr:uid="{00000000-0005-0000-0000-0000BA600000}"/>
    <cellStyle name="Normal 13 2 2 4" xfId="19430" xr:uid="{00000000-0005-0000-0000-0000BB600000}"/>
    <cellStyle name="Normal 13 2 2 4 2" xfId="26258" xr:uid="{00000000-0005-0000-0000-0000BC600000}"/>
    <cellStyle name="Normal 13 2 2 5" xfId="29478" xr:uid="{00000000-0005-0000-0000-0000BD600000}"/>
    <cellStyle name="Normal 13 2 3" xfId="27060" xr:uid="{00000000-0005-0000-0000-0000BE600000}"/>
    <cellStyle name="Normal 13 2 3 2" xfId="29753" xr:uid="{00000000-0005-0000-0000-0000BF600000}"/>
    <cellStyle name="Normal 13 2 3 2 2" xfId="26265" xr:uid="{00000000-0005-0000-0000-0000C0600000}"/>
    <cellStyle name="Normal 13 2 3 2 2 2" xfId="13106" xr:uid="{00000000-0005-0000-0000-0000C1600000}"/>
    <cellStyle name="Normal 13 2 3 2 3" xfId="19827" xr:uid="{00000000-0005-0000-0000-0000C2600000}"/>
    <cellStyle name="Normal 13 2 3 3" xfId="27351" xr:uid="{00000000-0005-0000-0000-0000C3600000}"/>
    <cellStyle name="Normal 13 2 3 3 2" xfId="28991" xr:uid="{00000000-0005-0000-0000-0000C4600000}"/>
    <cellStyle name="Normal 13 2 3 4" xfId="21603" xr:uid="{00000000-0005-0000-0000-0000C5600000}"/>
    <cellStyle name="Normal 13 2 4" xfId="26105" xr:uid="{00000000-0005-0000-0000-0000C6600000}"/>
    <cellStyle name="Normal 13 2 4 2" xfId="27210" xr:uid="{00000000-0005-0000-0000-0000C7600000}"/>
    <cellStyle name="Normal 13 2 4 2 2" xfId="1545" xr:uid="{00000000-0005-0000-0000-0000C8600000}"/>
    <cellStyle name="Normal 13 2 4 3" xfId="27211" xr:uid="{00000000-0005-0000-0000-0000C9600000}"/>
    <cellStyle name="Normal 13 2 5" xfId="26113" xr:uid="{00000000-0005-0000-0000-0000CA600000}"/>
    <cellStyle name="Normal 13 2 5 2" xfId="27212" xr:uid="{00000000-0005-0000-0000-0000CB600000}"/>
    <cellStyle name="Normal 13 2 6" xfId="11352" xr:uid="{00000000-0005-0000-0000-0000CC600000}"/>
    <cellStyle name="Normal 13 3" xfId="1022" xr:uid="{00000000-0005-0000-0000-0000CD600000}"/>
    <cellStyle name="Normal 13 3 2" xfId="20835" xr:uid="{00000000-0005-0000-0000-0000CE600000}"/>
    <cellStyle name="Normal 13 3 2 2" xfId="30027" xr:uid="{00000000-0005-0000-0000-0000CF600000}"/>
    <cellStyle name="Normal 13 3 2 2 2" xfId="31805" xr:uid="{00000000-0005-0000-0000-0000D0600000}"/>
    <cellStyle name="Normal 13 3 2 2 2 2" xfId="11392" xr:uid="{00000000-0005-0000-0000-0000D1600000}"/>
    <cellStyle name="Normal 13 3 2 2 3" xfId="24814" xr:uid="{00000000-0005-0000-0000-0000D2600000}"/>
    <cellStyle name="Normal 13 3 2 3" xfId="30043" xr:uid="{00000000-0005-0000-0000-0000D3600000}"/>
    <cellStyle name="Normal 13 3 2 3 2" xfId="30048" xr:uid="{00000000-0005-0000-0000-0000D4600000}"/>
    <cellStyle name="Normal 13 3 2 4" xfId="30053" xr:uid="{00000000-0005-0000-0000-0000D5600000}"/>
    <cellStyle name="Normal 13 3 3" xfId="27218" xr:uid="{00000000-0005-0000-0000-0000D6600000}"/>
    <cellStyle name="Normal 13 3 3 2" xfId="30093" xr:uid="{00000000-0005-0000-0000-0000D7600000}"/>
    <cellStyle name="Normal 13 3 3 2 2" xfId="17967" xr:uid="{00000000-0005-0000-0000-0000D8600000}"/>
    <cellStyle name="Normal 13 3 3 3" xfId="31011" xr:uid="{00000000-0005-0000-0000-0000D9600000}"/>
    <cellStyle name="Normal 13 3 4" xfId="26332" xr:uid="{00000000-0005-0000-0000-0000DA600000}"/>
    <cellStyle name="Normal 13 3 4 2" xfId="27220" xr:uid="{00000000-0005-0000-0000-0000DB600000}"/>
    <cellStyle name="Normal 13 3 5" xfId="26121" xr:uid="{00000000-0005-0000-0000-0000DC600000}"/>
    <cellStyle name="Normal 13 4" xfId="26232" xr:uid="{00000000-0005-0000-0000-0000DD600000}"/>
    <cellStyle name="Normal 13 4 2" xfId="6885" xr:uid="{00000000-0005-0000-0000-0000DE600000}"/>
    <cellStyle name="Normal 13 4 2 2" xfId="30187" xr:uid="{00000000-0005-0000-0000-0000DF600000}"/>
    <cellStyle name="Normal 13 4 2 2 2" xfId="30189" xr:uid="{00000000-0005-0000-0000-0000E0600000}"/>
    <cellStyle name="Normal 13 4 2 3" xfId="9518" xr:uid="{00000000-0005-0000-0000-0000E1600000}"/>
    <cellStyle name="Normal 13 4 3" xfId="27222" xr:uid="{00000000-0005-0000-0000-0000E2600000}"/>
    <cellStyle name="Normal 13 4 3 2" xfId="29987" xr:uid="{00000000-0005-0000-0000-0000E3600000}"/>
    <cellStyle name="Normal 13 4 4" xfId="29813" xr:uid="{00000000-0005-0000-0000-0000E4600000}"/>
    <cellStyle name="Normal 13 5" xfId="16025" xr:uid="{00000000-0005-0000-0000-0000E5600000}"/>
    <cellStyle name="Normal 13 5 2" xfId="33100" xr:uid="{00000000-0005-0000-0000-0000E6600000}"/>
    <cellStyle name="Normal 13 5 2 2" xfId="22610" xr:uid="{00000000-0005-0000-0000-0000E7600000}"/>
    <cellStyle name="Normal 13 5 3" xfId="22791" xr:uid="{00000000-0005-0000-0000-0000E8600000}"/>
    <cellStyle name="Normal 13 6" xfId="24143" xr:uid="{00000000-0005-0000-0000-0000E9600000}"/>
    <cellStyle name="Normal 13 6 2" xfId="27223" xr:uid="{00000000-0005-0000-0000-0000EA600000}"/>
    <cellStyle name="Normal 13 7" xfId="22814" xr:uid="{00000000-0005-0000-0000-0000EB600000}"/>
    <cellStyle name="Normal 14" xfId="31882" xr:uid="{00000000-0005-0000-0000-0000EC600000}"/>
    <cellStyle name="Normal 15" xfId="31644" xr:uid="{00000000-0005-0000-0000-0000ED600000}"/>
    <cellStyle name="Normal 15 2" xfId="23037" xr:uid="{00000000-0005-0000-0000-0000EE600000}"/>
    <cellStyle name="Normal 15 2 2" xfId="27232" xr:uid="{00000000-0005-0000-0000-0000EF600000}"/>
    <cellStyle name="Normal 15 2 2 2" xfId="280" xr:uid="{00000000-0005-0000-0000-0000F0600000}"/>
    <cellStyle name="Normal 15 2 2 2 2" xfId="27556" xr:uid="{00000000-0005-0000-0000-0000F1600000}"/>
    <cellStyle name="Normal 15 2 2 2 2 2" xfId="27238" xr:uid="{00000000-0005-0000-0000-0000F2600000}"/>
    <cellStyle name="Normal 15 2 2 2 3" xfId="14052" xr:uid="{00000000-0005-0000-0000-0000F3600000}"/>
    <cellStyle name="Normal 15 2 2 3" xfId="8500" xr:uid="{00000000-0005-0000-0000-0000F4600000}"/>
    <cellStyle name="Normal 15 2 2 3 2" xfId="3619" xr:uid="{00000000-0005-0000-0000-0000F5600000}"/>
    <cellStyle name="Normal 15 2 2 4" xfId="31368" xr:uid="{00000000-0005-0000-0000-0000F6600000}"/>
    <cellStyle name="Normal 15 2 3" xfId="27241" xr:uid="{00000000-0005-0000-0000-0000F7600000}"/>
    <cellStyle name="Normal 15 2 3 2" xfId="26913" xr:uid="{00000000-0005-0000-0000-0000F8600000}"/>
    <cellStyle name="Normal 15 2 3 2 2" xfId="27544" xr:uid="{00000000-0005-0000-0000-0000F9600000}"/>
    <cellStyle name="Normal 15 2 3 3" xfId="26765" xr:uid="{00000000-0005-0000-0000-0000FA600000}"/>
    <cellStyle name="Normal 15 2 4" xfId="26134" xr:uid="{00000000-0005-0000-0000-0000FB600000}"/>
    <cellStyle name="Normal 15 2 4 2" xfId="26771" xr:uid="{00000000-0005-0000-0000-0000FC600000}"/>
    <cellStyle name="Normal 15 2 5" xfId="27251" xr:uid="{00000000-0005-0000-0000-0000FD600000}"/>
    <cellStyle name="Normal 15 3" xfId="27259" xr:uid="{00000000-0005-0000-0000-0000FE600000}"/>
    <cellStyle name="Normal 15 3 2" xfId="27280" xr:uid="{00000000-0005-0000-0000-0000FF600000}"/>
    <cellStyle name="Normal 15 3 2 2" xfId="33340" xr:uid="{00000000-0005-0000-0000-000000610000}"/>
    <cellStyle name="Normal 15 3 2 2 2" xfId="16652" xr:uid="{00000000-0005-0000-0000-000001610000}"/>
    <cellStyle name="Normal 15 3 2 3" xfId="31379" xr:uid="{00000000-0005-0000-0000-000002610000}"/>
    <cellStyle name="Normal 15 3 3" xfId="27764" xr:uid="{00000000-0005-0000-0000-000003610000}"/>
    <cellStyle name="Normal 15 3 3 2" xfId="19391" xr:uid="{00000000-0005-0000-0000-000004610000}"/>
    <cellStyle name="Normal 15 3 4" xfId="27283" xr:uid="{00000000-0005-0000-0000-000005610000}"/>
    <cellStyle name="Normal 15 4" xfId="27285" xr:uid="{00000000-0005-0000-0000-000006610000}"/>
    <cellStyle name="Normal 15 4 2" xfId="27287" xr:uid="{00000000-0005-0000-0000-000007610000}"/>
    <cellStyle name="Normal 15 4 2 2" xfId="15419" xr:uid="{00000000-0005-0000-0000-000008610000}"/>
    <cellStyle name="Normal 15 4 3" xfId="27289" xr:uid="{00000000-0005-0000-0000-000009610000}"/>
    <cellStyle name="Normal 15 5" xfId="16053" xr:uid="{00000000-0005-0000-0000-00000A610000}"/>
    <cellStyle name="Normal 15 5 2" xfId="33615" xr:uid="{00000000-0005-0000-0000-00000B610000}"/>
    <cellStyle name="Normal 15 6" xfId="27294" xr:uid="{00000000-0005-0000-0000-00000C610000}"/>
    <cellStyle name="Normal 16" xfId="32583" xr:uid="{00000000-0005-0000-0000-00000D610000}"/>
    <cellStyle name="Normal 17" xfId="30104" xr:uid="{00000000-0005-0000-0000-00000E610000}"/>
    <cellStyle name="Normal 17 2" xfId="28364" xr:uid="{00000000-0005-0000-0000-00000F610000}"/>
    <cellStyle name="Normal 17 2 2" xfId="25623" xr:uid="{00000000-0005-0000-0000-000010610000}"/>
    <cellStyle name="Normal 17 2 2 2" xfId="22764" xr:uid="{00000000-0005-0000-0000-000011610000}"/>
    <cellStyle name="Normal 17 2 2 2 2" xfId="1065" xr:uid="{00000000-0005-0000-0000-000012610000}"/>
    <cellStyle name="Normal 17 2 2 3" xfId="27450" xr:uid="{00000000-0005-0000-0000-000013610000}"/>
    <cellStyle name="Normal 17 2 3" xfId="22778" xr:uid="{00000000-0005-0000-0000-000014610000}"/>
    <cellStyle name="Normal 17 2 3 2" xfId="22509" xr:uid="{00000000-0005-0000-0000-000015610000}"/>
    <cellStyle name="Normal 17 2 4" xfId="27895" xr:uid="{00000000-0005-0000-0000-000016610000}"/>
    <cellStyle name="Normal 17 3" xfId="20244" xr:uid="{00000000-0005-0000-0000-000017610000}"/>
    <cellStyle name="Normal 17 3 2" xfId="1245" xr:uid="{00000000-0005-0000-0000-000018610000}"/>
    <cellStyle name="Normal 17 3 2 2" xfId="5180" xr:uid="{00000000-0005-0000-0000-000019610000}"/>
    <cellStyle name="Normal 17 3 3" xfId="20762" xr:uid="{00000000-0005-0000-0000-00001A610000}"/>
    <cellStyle name="Normal 17 4" xfId="28784" xr:uid="{00000000-0005-0000-0000-00001B610000}"/>
    <cellStyle name="Normal 17 4 2" xfId="20801" xr:uid="{00000000-0005-0000-0000-00001C610000}"/>
    <cellStyle name="Normal 17 5" xfId="27307" xr:uid="{00000000-0005-0000-0000-00001D610000}"/>
    <cellStyle name="Normal 18" xfId="3010" xr:uid="{00000000-0005-0000-0000-00001E610000}"/>
    <cellStyle name="Normal 19" xfId="22923" xr:uid="{00000000-0005-0000-0000-00001F610000}"/>
    <cellStyle name="Normal 19 2" xfId="27972" xr:uid="{00000000-0005-0000-0000-000020610000}"/>
    <cellStyle name="Normal 19 2 2" xfId="13473" xr:uid="{00000000-0005-0000-0000-000021610000}"/>
    <cellStyle name="Normal 19 2 2 2" xfId="21113" xr:uid="{00000000-0005-0000-0000-000022610000}"/>
    <cellStyle name="Normal 19 2 3" xfId="9807" xr:uid="{00000000-0005-0000-0000-000023610000}"/>
    <cellStyle name="Normal 19 3" xfId="25545" xr:uid="{00000000-0005-0000-0000-000024610000}"/>
    <cellStyle name="Normal 19 3 2" xfId="13489" xr:uid="{00000000-0005-0000-0000-000025610000}"/>
    <cellStyle name="Normal 19 4" xfId="27651" xr:uid="{00000000-0005-0000-0000-000026610000}"/>
    <cellStyle name="Normal 2" xfId="27311" xr:uid="{00000000-0005-0000-0000-000027610000}"/>
    <cellStyle name="Normal 2 2" xfId="27312" xr:uid="{00000000-0005-0000-0000-000028610000}"/>
    <cellStyle name="Normal 2 2 2" xfId="27313" xr:uid="{00000000-0005-0000-0000-000029610000}"/>
    <cellStyle name="Normal 2 3" xfId="16859" xr:uid="{00000000-0005-0000-0000-00002A610000}"/>
    <cellStyle name="Normal 2 3 2" xfId="16862" xr:uid="{00000000-0005-0000-0000-00002B610000}"/>
    <cellStyle name="Normal 2 4" xfId="20826" xr:uid="{00000000-0005-0000-0000-00002C610000}"/>
    <cellStyle name="Normal 20" xfId="31645" xr:uid="{00000000-0005-0000-0000-00002D610000}"/>
    <cellStyle name="Normal 20 2" xfId="23038" xr:uid="{00000000-0005-0000-0000-00002E610000}"/>
    <cellStyle name="Normal 20 2 2" xfId="27233" xr:uid="{00000000-0005-0000-0000-00002F610000}"/>
    <cellStyle name="Normal 20 3" xfId="27260" xr:uid="{00000000-0005-0000-0000-000030610000}"/>
    <cellStyle name="Normal 21" xfId="32584" xr:uid="{00000000-0005-0000-0000-000031610000}"/>
    <cellStyle name="Normal 21 2" xfId="21492" xr:uid="{00000000-0005-0000-0000-000032610000}"/>
    <cellStyle name="Normal 22" xfId="30105" xr:uid="{00000000-0005-0000-0000-000033610000}"/>
    <cellStyle name="Normal 23" xfId="3011" xr:uid="{00000000-0005-0000-0000-000034610000}"/>
    <cellStyle name="Normal 24" xfId="22922" xr:uid="{00000000-0005-0000-0000-000035610000}"/>
    <cellStyle name="Normal 25" xfId="22927" xr:uid="{00000000-0005-0000-0000-000036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 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/>
    <tableColumn id="2" xr3:uid="{C59473A8-C6BC-40C5-9F2F-F75342DB2348}" name="Month Name" dataDxfId="343"/>
    <tableColumn id="3" xr3:uid="{4700DECB-F8BE-4A1B-92F8-6A993B8845ED}" name="Month Number" dataDxfId="342"/>
    <tableColumn id="4" xr3:uid="{A73B8F81-A9C2-4A9F-8850-8007F6BAEE85}" name="Month" dataDxfId="341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/>
    <tableColumn id="25" xr3:uid="{40AF72D3-5047-452B-B510-96C11424B8CE}" name="Bugt EGA" dataDxfId="31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/>
    <tableColumn id="2" xr3:uid="{1645EAC2-680C-4034-AF09-2BB3C2FE8AFA}" name="Financial Year" dataDxfId="296" totalsRowDxfId="295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>
      <calculatedColumnFormula>YEAR(Table13[[#This Row],[Date]])</calculatedColumnFormula>
    </tableColumn>
    <tableColumn id="4" xr3:uid="{6B1E4087-5616-4FD4-9645-70099C73DA78}" name="Month Year" dataDxfId="292" totalsRowDxfId="291">
      <calculatedColumnFormula>Table13[[#This Row],[Date]]-DAY(Table13[[#This Row],[Date]])+1</calculatedColumnFormula>
    </tableColumn>
    <tableColumn id="5" xr3:uid="{2A64C063-B02A-4FFD-BD00-1A60A4F93D42}" name="Days" dataDxfId="290" totalsRowDxfId="289">
      <calculatedColumnFormula>DAY(EOMONTH(A2,0))</calculatedColumnFormula>
    </tableColumn>
    <tableColumn id="6" xr3:uid="{6F083B2F-E786-480E-9522-E0D09F574D84}" name="Operating Hours" dataDxfId="288">
      <calculatedColumnFormula>IFERROR(_xlfn.XLOOKUP($A2,'Raw Data'!$G:$G,'Raw Data'!$AM:$AM),"")</calculatedColumnFormula>
    </tableColumn>
    <tableColumn id="7" xr3:uid="{7F7C3380-C282-4387-AF7F-331BD2EC5671}" name="GHI-UP (KWh/m2)" dataDxfId="287" totalsRowDxfId="286">
      <calculatedColumnFormula>IFERROR(_xlfn.XLOOKUP($A2,'Raw Data'!$G:$G,'Raw Data'!$AB:$AB),"")</calculatedColumnFormula>
    </tableColumn>
    <tableColumn id="8" xr3:uid="{1E1F2561-A18F-4A5C-A9DA-D6FA9CE9AA7B}" name="GHI-Down(KWh/m2)" dataDxfId="285" totalsRowDxfId="284"/>
    <tableColumn id="9" xr3:uid="{D358750F-4772-4D11-86AB-6D203CC0361A}" name="POA-UP(KWh/m2)" dataDxfId="283" totalsRowDxfId="282">
      <calculatedColumnFormula>IFERROR(_xlfn.XLOOKUP($A2,'Raw Data'!$G:$G,'Raw Data'!$AC:$AC),"")</calculatedColumnFormula>
    </tableColumn>
    <tableColumn id="10" xr3:uid="{912C5502-E39D-4C8B-BB9E-5C4E6FD75C04}" name="POA-Down(KWh/m2)" dataDxfId="281"/>
    <tableColumn id="11" xr3:uid="{1D81F928-07B6-4A0A-B443-0B67CC59609F}" name="Amb_Temp(°C)" dataDxfId="280" totalsRowDxfId="279">
      <calculatedColumnFormula>IFERROR(_xlfn.XLOOKUP($A2,'Raw Data'!$G:$G,'Raw Data'!AD:AD),"")</calculatedColumnFormula>
    </tableColumn>
    <tableColumn id="12" xr3:uid="{6C051CEF-FE62-4A53-BC99-0DE84A3473CE}" name="Mod_Temp(°C)" dataDxfId="278" totalsRowDxfId="277">
      <calculatedColumnFormula>IFERROR(_xlfn.XLOOKUP($A2,'Raw Data'!$G:$G,'Raw Data'!AE:AE),"")</calculatedColumnFormula>
    </tableColumn>
    <tableColumn id="13" xr3:uid="{26CD3FBD-4000-4645-ABB1-486842731EFB}" name="WS_Avg(m/s)" dataDxfId="276" totalsRowDxfId="275">
      <calculatedColumnFormula>IFERROR(_xlfn.XLOOKUP($A2,'Raw Data'!$G:$G,'Raw Data'!AF:AF),"")</calculatedColumnFormula>
    </tableColumn>
    <tableColumn id="14" xr3:uid="{4502CF1C-A962-4690-8F8D-BD7B9A934EF4}" name="WS_Max(m/s)" dataDxfId="274" totalsRowDxfId="273">
      <calculatedColumnFormula>IFERROR(_xlfn.XLOOKUP($A2,'Raw Data'!$G:$G,'Raw Data'!AG:AG),"")</calculatedColumnFormula>
    </tableColumn>
    <tableColumn id="15" xr3:uid="{E4870E47-0A62-449C-BE0F-53A1957F5C2C}" name="PA(%)" dataDxfId="272" totalsRowDxfId="271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/>
    <tableColumn id="17" xr3:uid="{B4666B66-1F5C-4050-818C-D396CDA6A81E}" name="IGA (%)" dataDxfId="268" totalsRowDxfId="267"/>
    <tableColumn id="18" xr3:uid="{736B0840-8499-4C01-8C05-B3918E0EE90C}" name="EGA(%)" dataDxfId="266" totalsRowDxfId="265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/>
    <tableColumn id="20" xr3:uid="{3787585B-3315-43BB-9B68-918461B97E6C}" name="TA (%)" dataDxfId="262" totalsRowDxfId="261"/>
    <tableColumn id="21" xr3:uid="{3C046ABD-6319-476F-8017-47FA0631B160}" name="PR(%)" dataDxfId="260" totalsRowDxfId="259">
      <calculatedColumnFormula>IFERROR(AA2/I2/AB2/1000,"")</calculatedColumnFormula>
    </tableColumn>
    <tableColumn id="22" xr3:uid="{6CC0B2DD-11E1-476D-A799-1B172DD7713F}" name="WPR(%)" dataDxfId="258" totalsRowDxfId="257"/>
    <tableColumn id="23" xr3:uid="{E33F43C6-F196-4BC5-9925-089831D6EA72}" name="CUF(%)" dataDxfId="256" totalsRowDxfId="255">
      <calculatedColumnFormula>IFERROR(AA2/(24*AB2*1000),"")</calculatedColumnFormula>
    </tableColumn>
    <tableColumn id="24" xr3:uid="{6775EF12-725C-42A4-932E-34BFFD00A23D}" name="Gen_Exp (kWh)" dataDxfId="254" totalsRowDxfId="2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>
      <calculatedColumnFormula>IFERROR(_xlfn.XLOOKUP($A2,'Raw Data'!$G:$G,'Raw Data'!AJ:AJ),"")</calculatedColumnFormula>
    </tableColumn>
    <tableColumn id="26" xr3:uid="{1A80ED8A-5BC3-464C-8D6E-C673281B31DA}" name="Mtr_Import (kWh)" dataDxfId="250" totalsRowDxfId="249">
      <calculatedColumnFormula>IFERROR(_xlfn.XLOOKUP($A2,'Raw Data'!$G:$G,'Raw Data'!AK:AK),"")</calculatedColumnFormula>
    </tableColumn>
    <tableColumn id="27" xr3:uid="{895BE9FA-524E-4745-8785-7E6B5FD0694C}" name="Mtr_Net_Exp (KWh)" dataDxfId="248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>
      <calculatedColumnFormula>IFERROR(_xlfn.XLOOKUP($A2,'Raw Data'!$G:$G,'Raw Data'!H:H),"")</calculatedColumnFormula>
    </tableColumn>
    <tableColumn id="29" xr3:uid="{BFD6EBC7-DDEB-465F-AFEE-975A82DD55B5}" name="Bugt_Resource" dataDxfId="245" totalsRowDxfId="244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>
      <calculatedColumnFormula>IFERROR(_xlfn.XLOOKUP($D2,'Modelling New'!$D:$D,'Modelling New'!$T:$T)*1000,"")</calculatedColumnFormula>
    </tableColumn>
    <tableColumn id="43" xr3:uid="{AB01BEA0-AEF9-4786-BC15-72C156E33CDE}" name="Bugt PR" dataDxfId="241">
      <calculatedColumnFormula>IFERROR(_xlfn.XLOOKUP($D2,'Modelling New'!$D:$D,'Modelling New'!O:O),"")</calculatedColumnFormula>
    </tableColumn>
    <tableColumn id="42" xr3:uid="{608E303D-FB8D-4BDD-A473-2D6EAA4A9729}" name="Bugt CUF" dataDxfId="240" totalsRowDxfId="239">
      <calculatedColumnFormula>IFERROR(_xlfn.XLOOKUP($D2,'Modelling New'!$D:$D,'Modelling New'!W:W),"")</calculatedColumnFormula>
    </tableColumn>
    <tableColumn id="31" xr3:uid="{8318729F-CD8D-40D8-9B16-A87F35DDBD46}" name="Bugt_PA" dataDxfId="238" totalsRowDxfId="237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/>
    <tableColumn id="34" xr3:uid="{4CD72ECB-D43F-44F5-9CB3-F8FE64834676}" name="Actual Energy WPR" dataDxfId="232" totalsRowDxfId="231"/>
    <tableColumn id="35" xr3:uid="{68402F75-F4C1-4FC7-9B37-759B9457971B}" name="RA (%)" dataDxfId="230" totalsRowDxfId="229"/>
    <tableColumn id="36" xr3:uid="{CA32920B-1B62-485D-9D1B-AC05765F30E4}" name="Mod Clean Dry (Num)" dataDxfId="228" totalsRowDxfId="227"/>
    <tableColumn id="37" xr3:uid="{C6D3C677-1DEE-4C60-8AB6-622A5F50D491}" name="Mod Clean Wet (Num)" dataDxfId="226" totalsRowDxfId="225"/>
    <tableColumn id="38" xr3:uid="{5E72BC9A-A50C-47F0-A117-504A8BAE4182}" name="Line Loss(%)" dataDxfId="224" totalsRowDxfId="223"/>
    <tableColumn id="39" xr3:uid="{7E41C1FC-B632-42A9-B7A0-29A44D99EB97}" name="Reactive Power (%)" dataDxfId="222"/>
    <tableColumn id="40" xr3:uid="{35EEBDEE-ABCC-48D3-B309-878B28205D1B}" name="Bugt Line loss (%) (Wind)" dataDxfId="221" totalsRowDxfId="220"/>
    <tableColumn id="41" xr3:uid="{CDCAABAD-9FF8-46EA-B8D6-118709A99111}" name="Bugt Reactive Power (%) (Wind)" dataDxfId="219" totalsRowDxfId="218"/>
    <tableColumn id="44" xr3:uid="{8A5F71B2-CFEE-4359-9CBE-5A2E857E9FA5}" name="Bugt Capacity" dataDxfId="217" totalsRowDxfId="216">
      <calculatedColumnFormula>'Basic Data'!$B$98/1000</calculatedColumnFormula>
    </tableColumn>
    <tableColumn id="45" xr3:uid="{355D48CF-198C-45F9-BBC9-7618D8437718}" name="CC*Bugt" dataDxfId="215" totalsRowDxfId="214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17" totalsRowShown="0" headerRowDxfId="213" headerRowBorderDxfId="212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353" totalsRowShown="0" headerRowDxfId="187" dataDxfId="18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289" totalsRowShown="0" headerRowDxfId="159" dataDxfId="157" headerRowBorderDxfId="158" tableBorderDxfId="156" totalsRowBorderDxfId="155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0" totalsRowShown="0" headerRowDxfId="115" dataDxfId="113" headerRowBorderDxfId="114" tableBorderDxfId="112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3" totalsRowShown="0" headerRowDxfId="80" headerRowBorderDxfId="79" tableBorderDxfId="78">
  <autoFilter ref="A2:AD63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D15" sqref="D15"/>
    </sheetView>
  </sheetViews>
  <sheetFormatPr defaultColWidth="8.77734375" defaultRowHeight="14.4" x14ac:dyDescent="0.3"/>
  <cols>
    <col min="1" max="1" width="14.21875" style="179" customWidth="1"/>
    <col min="2" max="2" width="17.77734375" style="179" bestFit="1" customWidth="1"/>
    <col min="3" max="4" width="13.77734375" style="179" customWidth="1"/>
    <col min="5" max="5" width="16.21875" style="179" customWidth="1"/>
    <col min="6" max="6" width="51.77734375" style="179" customWidth="1"/>
    <col min="7" max="16384" width="8.77734375" style="179"/>
  </cols>
  <sheetData>
    <row r="1" spans="1:6" ht="15.6" x14ac:dyDescent="0.3">
      <c r="A1" s="220" t="s">
        <v>330</v>
      </c>
      <c r="B1" s="221"/>
      <c r="C1" s="221"/>
      <c r="D1" s="221"/>
      <c r="E1" s="221"/>
      <c r="F1" s="222"/>
    </row>
    <row r="2" spans="1:6" x14ac:dyDescent="0.3">
      <c r="A2" s="180" t="s">
        <v>114</v>
      </c>
      <c r="B2" s="223">
        <v>45839</v>
      </c>
      <c r="C2" s="224"/>
      <c r="D2" s="224"/>
      <c r="E2" s="224"/>
      <c r="F2" s="225"/>
    </row>
    <row r="3" spans="1:6" x14ac:dyDescent="0.3">
      <c r="A3" s="180" t="s">
        <v>115</v>
      </c>
      <c r="B3" s="226">
        <v>45858</v>
      </c>
      <c r="C3" s="226"/>
      <c r="D3" s="226"/>
      <c r="E3" s="226"/>
      <c r="F3" s="227"/>
    </row>
    <row r="4" spans="1:6" x14ac:dyDescent="0.3">
      <c r="A4" s="180" t="s">
        <v>116</v>
      </c>
      <c r="B4" s="228">
        <f>YEAR(B3)+IF(MONTH(B3)&gt;=4,1,0)</f>
        <v>2026</v>
      </c>
      <c r="C4" s="228"/>
      <c r="D4" s="228"/>
      <c r="E4" s="228"/>
      <c r="F4" s="229"/>
    </row>
    <row r="5" spans="1:6" x14ac:dyDescent="0.3">
      <c r="A5" s="180" t="s">
        <v>117</v>
      </c>
      <c r="B5" s="230">
        <v>45748</v>
      </c>
      <c r="C5" s="231"/>
      <c r="D5" s="231"/>
      <c r="E5" s="231"/>
      <c r="F5" s="232"/>
    </row>
    <row r="6" spans="1:6" ht="15" thickBot="1" x14ac:dyDescent="0.35">
      <c r="A6" s="181" t="s">
        <v>118</v>
      </c>
      <c r="B6" s="218">
        <v>46112</v>
      </c>
      <c r="C6" s="218"/>
      <c r="D6" s="218"/>
      <c r="E6" s="218"/>
      <c r="F6" s="219"/>
    </row>
    <row r="7" spans="1:6" ht="4.5" customHeight="1" thickBot="1" x14ac:dyDescent="0.35">
      <c r="A7" s="182"/>
      <c r="B7" s="46"/>
      <c r="C7" s="46"/>
      <c r="D7" s="46"/>
      <c r="E7" s="46"/>
      <c r="F7" s="46"/>
    </row>
    <row r="8" spans="1:6" ht="15" thickBot="1" x14ac:dyDescent="0.35">
      <c r="A8" s="77" t="s">
        <v>58</v>
      </c>
      <c r="B8" s="78" t="s">
        <v>119</v>
      </c>
      <c r="C8" s="78" t="s">
        <v>120</v>
      </c>
      <c r="D8" s="78" t="s">
        <v>121</v>
      </c>
      <c r="E8" s="78" t="s">
        <v>122</v>
      </c>
      <c r="F8" s="79" t="s">
        <v>75</v>
      </c>
    </row>
    <row r="9" spans="1:6" x14ac:dyDescent="0.3">
      <c r="A9" s="215">
        <v>1</v>
      </c>
      <c r="B9" s="183" t="s">
        <v>123</v>
      </c>
      <c r="C9" s="82">
        <f>_xlfn.XLOOKUP($B$3,'Daily KPI'!$A:$A,'Daily KPI'!$AD:$AD)/1000</f>
        <v>22.929949138521675</v>
      </c>
      <c r="D9" s="184">
        <f>_xlfn.XLOOKUP($B$3,'Daily KPI'!$A:$A,'Daily KPI'!AA:AA)/1000</f>
        <v>30.299999999994213</v>
      </c>
      <c r="E9" s="185">
        <f>-(C9-D9)/C9</f>
        <v>0.32141592713308981</v>
      </c>
      <c r="F9" s="186"/>
    </row>
    <row r="10" spans="1:6" x14ac:dyDescent="0.3">
      <c r="A10" s="216"/>
      <c r="B10" s="187" t="s">
        <v>124</v>
      </c>
      <c r="C10" s="80">
        <f>'Monthly KPI'!$E$4</f>
        <v>458.59898277043351</v>
      </c>
      <c r="D10" s="188">
        <f>'Monthly KPI'!$F$4</f>
        <v>524.05000000000314</v>
      </c>
      <c r="E10" s="189">
        <f t="shared" ref="E10:E26" si="0">-(C10-D10)/C10</f>
        <v>0.14271949936341932</v>
      </c>
      <c r="F10" s="190"/>
    </row>
    <row r="11" spans="1:6" ht="15" thickBot="1" x14ac:dyDescent="0.35">
      <c r="A11" s="217"/>
      <c r="B11" s="191" t="s">
        <v>125</v>
      </c>
      <c r="C11" s="83">
        <f>'Annual KPI'!$E$4</f>
        <v>3315.4083651754663</v>
      </c>
      <c r="D11" s="192">
        <f>'Annual KPI'!$F$4</f>
        <v>3297.4999999999936</v>
      </c>
      <c r="E11" s="193">
        <f t="shared" si="0"/>
        <v>-5.4015563704246398E-3</v>
      </c>
      <c r="F11" s="194"/>
    </row>
    <row r="12" spans="1:6" x14ac:dyDescent="0.3">
      <c r="A12" s="215">
        <v>2</v>
      </c>
      <c r="B12" s="183" t="s">
        <v>126</v>
      </c>
      <c r="C12" s="84">
        <f>_xlfn.XLOOKUP($B$3,'Daily KPI'!$A:$A,'Daily KPI'!AF:AF)</f>
        <v>0.11911562884943125</v>
      </c>
      <c r="D12" s="195">
        <f>_xlfn.XLOOKUP($B$3,'Daily KPI'!$A:$A,'Daily KPI'!W:W)</f>
        <v>0.15740128913211221</v>
      </c>
      <c r="E12" s="185">
        <f t="shared" si="0"/>
        <v>0.32141592713308981</v>
      </c>
      <c r="F12" s="196"/>
    </row>
    <row r="13" spans="1:6" x14ac:dyDescent="0.3">
      <c r="A13" s="216"/>
      <c r="B13" s="187" t="s">
        <v>127</v>
      </c>
      <c r="C13" s="81">
        <f>'Monthly KPI'!$I$4</f>
        <v>0.11911562884943126</v>
      </c>
      <c r="D13" s="197">
        <f>'Monthly KPI'!$J$4</f>
        <v>0.13611575176518095</v>
      </c>
      <c r="E13" s="189">
        <f t="shared" si="0"/>
        <v>0.14271949936341927</v>
      </c>
      <c r="F13" s="190"/>
    </row>
    <row r="14" spans="1:6" ht="15" thickBot="1" x14ac:dyDescent="0.35">
      <c r="A14" s="217"/>
      <c r="B14" s="191" t="s">
        <v>128</v>
      </c>
      <c r="C14" s="85">
        <f>'Annual KPI'!$I$4</f>
        <v>0.15515997701011114</v>
      </c>
      <c r="D14" s="198">
        <f>'Annual KPI'!$J$4</f>
        <v>0.15432187164785721</v>
      </c>
      <c r="E14" s="193">
        <f t="shared" si="0"/>
        <v>-5.4015563704247717E-3</v>
      </c>
      <c r="F14" s="194"/>
    </row>
    <row r="15" spans="1:6" x14ac:dyDescent="0.3">
      <c r="A15" s="215">
        <v>3</v>
      </c>
      <c r="B15" s="183" t="s">
        <v>129</v>
      </c>
      <c r="C15" s="84">
        <f>_xlfn.XLOOKUP($B$3,'Daily KPI'!$A:$A,'Daily KPI'!AE:AE)</f>
        <v>0.70671473575739119</v>
      </c>
      <c r="D15" s="195">
        <f>_xlfn.XLOOKUP($B$3,'Daily KPI'!$A:$A,'Daily KPI'!U:U)</f>
        <v>0.7936199452039272</v>
      </c>
      <c r="E15" s="185">
        <f t="shared" si="0"/>
        <v>0.12297070522153339</v>
      </c>
      <c r="F15" s="186"/>
    </row>
    <row r="16" spans="1:6" x14ac:dyDescent="0.3">
      <c r="A16" s="216"/>
      <c r="B16" s="187" t="s">
        <v>130</v>
      </c>
      <c r="C16" s="81">
        <f>'Monthly KPI'!$G$4</f>
        <v>0.70671473575739119</v>
      </c>
      <c r="D16" s="197">
        <f>'Monthly KPI'!$H$4</f>
        <v>0.78622816904075643</v>
      </c>
      <c r="E16" s="189">
        <f t="shared" si="0"/>
        <v>0.11251135608223894</v>
      </c>
      <c r="F16" s="190"/>
    </row>
    <row r="17" spans="1:6" ht="15" thickBot="1" x14ac:dyDescent="0.35">
      <c r="A17" s="217"/>
      <c r="B17" s="191" t="s">
        <v>131</v>
      </c>
      <c r="C17" s="85">
        <f>'Annual KPI'!$G$4</f>
        <v>0.6868460670030937</v>
      </c>
      <c r="D17" s="198">
        <f>'Annual KPI'!$H$4</f>
        <v>0.75294127592881388</v>
      </c>
      <c r="E17" s="193">
        <f t="shared" si="0"/>
        <v>9.6230017322676872E-2</v>
      </c>
      <c r="F17" s="194"/>
    </row>
    <row r="18" spans="1:6" ht="28.05" customHeight="1" x14ac:dyDescent="0.3">
      <c r="A18" s="215">
        <v>4</v>
      </c>
      <c r="B18" s="183" t="s">
        <v>132</v>
      </c>
      <c r="C18" s="158">
        <f>_xlfn.XLOOKUP($B$3,'Daily KPI'!$A:$A,'Daily KPI'!AC:AC)</f>
        <v>4.0451612903225804</v>
      </c>
      <c r="D18" s="199">
        <f>_xlfn.XLOOKUP($B$3,'Daily KPI'!$A:$A,'Daily KPI'!I:I)</f>
        <v>4.76</v>
      </c>
      <c r="E18" s="185">
        <f t="shared" si="0"/>
        <v>0.17671451355661882</v>
      </c>
      <c r="F18" s="200"/>
    </row>
    <row r="19" spans="1:6" x14ac:dyDescent="0.3">
      <c r="A19" s="216"/>
      <c r="B19" s="187" t="s">
        <v>133</v>
      </c>
      <c r="C19" s="159">
        <f>'Monthly KPI'!$C$4</f>
        <v>80.903225806451616</v>
      </c>
      <c r="D19" s="201">
        <f>'Monthly KPI'!$D$4</f>
        <v>83.100000000000009</v>
      </c>
      <c r="E19" s="189">
        <f t="shared" si="0"/>
        <v>2.715311004784696E-2</v>
      </c>
      <c r="F19" s="202"/>
    </row>
    <row r="20" spans="1:6" ht="15" thickBot="1" x14ac:dyDescent="0.35">
      <c r="A20" s="217"/>
      <c r="B20" s="191" t="s">
        <v>134</v>
      </c>
      <c r="C20" s="160">
        <f>'Annual KPI'!$C$4</f>
        <v>601.80322580645168</v>
      </c>
      <c r="D20" s="203">
        <f>'Annual KPI'!$D$4</f>
        <v>546.01</v>
      </c>
      <c r="E20" s="193">
        <f t="shared" si="0"/>
        <v>-9.2710080993144373E-2</v>
      </c>
      <c r="F20" s="204"/>
    </row>
    <row r="21" spans="1:6" x14ac:dyDescent="0.3">
      <c r="A21" s="215">
        <v>5</v>
      </c>
      <c r="B21" s="183" t="s">
        <v>135</v>
      </c>
      <c r="C21" s="195">
        <f>_xlfn.XLOOKUP($B$2,'Modelling New'!$D:$D,'Modelling New'!AE:AE)</f>
        <v>0.98040000000000005</v>
      </c>
      <c r="D21" s="195">
        <f>_xlfn.XLOOKUP($B$3,'Daily KPI'!$A:$A,'Daily KPI'!O:O)</f>
        <v>1</v>
      </c>
      <c r="E21" s="185">
        <f t="shared" si="0"/>
        <v>1.9991840065279428E-2</v>
      </c>
      <c r="F21" s="200"/>
    </row>
    <row r="22" spans="1:6" x14ac:dyDescent="0.3">
      <c r="A22" s="216"/>
      <c r="B22" s="187" t="s">
        <v>136</v>
      </c>
      <c r="C22" s="197">
        <f>_xlfn.XLOOKUP($B$2,'Modelling New'!$D:$D,'Modelling New'!AE:AE)</f>
        <v>0.98040000000000005</v>
      </c>
      <c r="D22" s="197">
        <f>'Monthly KPI'!$N$4</f>
        <v>0.99915631343990863</v>
      </c>
      <c r="E22" s="189">
        <f t="shared" si="0"/>
        <v>1.9131286658413481E-2</v>
      </c>
      <c r="F22" s="202"/>
    </row>
    <row r="23" spans="1:6" ht="15" thickBot="1" x14ac:dyDescent="0.35">
      <c r="A23" s="217"/>
      <c r="B23" s="191" t="s">
        <v>137</v>
      </c>
      <c r="C23" s="198">
        <f>_xlfn.XLOOKUP($B$2,'Modelling New'!$D:$D,'Modelling New'!AE:AE)</f>
        <v>0.98040000000000005</v>
      </c>
      <c r="D23" s="198">
        <f>'Annual KPI'!$N$4</f>
        <v>0.97960003136767648</v>
      </c>
      <c r="E23" s="193">
        <f t="shared" si="0"/>
        <v>-8.1596147727821969E-4</v>
      </c>
      <c r="F23" s="194"/>
    </row>
    <row r="24" spans="1:6" x14ac:dyDescent="0.3">
      <c r="A24" s="215">
        <v>6</v>
      </c>
      <c r="B24" s="183" t="s">
        <v>138</v>
      </c>
      <c r="C24" s="195">
        <f>_xlfn.XLOOKUP($B$2,'Modelling New'!$D:$D,'Modelling New'!AF:AF)</f>
        <v>0.98</v>
      </c>
      <c r="D24" s="195">
        <f>_xlfn.XLOOKUP($B$3,'Daily KPI'!$A:$A,'Daily KPI'!R:R)</f>
        <v>1</v>
      </c>
      <c r="E24" s="185">
        <f t="shared" si="0"/>
        <v>2.0408163265306142E-2</v>
      </c>
      <c r="F24" s="186"/>
    </row>
    <row r="25" spans="1:6" x14ac:dyDescent="0.3">
      <c r="A25" s="216"/>
      <c r="B25" s="187" t="s">
        <v>139</v>
      </c>
      <c r="C25" s="197">
        <f>_xlfn.XLOOKUP($B$2,'Modelling New'!$D:$D,'Modelling New'!AF:AF)</f>
        <v>0.98</v>
      </c>
      <c r="D25" s="197">
        <f>'Monthly KPI'!$L$4</f>
        <v>0.97678101891101787</v>
      </c>
      <c r="E25" s="189">
        <f t="shared" si="0"/>
        <v>-3.2846745805939891E-3</v>
      </c>
      <c r="F25" s="190"/>
    </row>
    <row r="26" spans="1:6" ht="15" thickBot="1" x14ac:dyDescent="0.35">
      <c r="A26" s="217"/>
      <c r="B26" s="191" t="s">
        <v>140</v>
      </c>
      <c r="C26" s="198">
        <f>_xlfn.XLOOKUP($B$2,'Modelling New'!$D:$D,'Modelling New'!AF:AF)</f>
        <v>0.98</v>
      </c>
      <c r="D26" s="198">
        <f>'Annual KPI'!$L$4</f>
        <v>0.96009451588787931</v>
      </c>
      <c r="E26" s="193">
        <f t="shared" si="0"/>
        <v>-2.0311718481755791E-2</v>
      </c>
      <c r="F26" s="194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21875" defaultRowHeight="14.4" x14ac:dyDescent="0.3"/>
  <cols>
    <col min="2" max="2" width="18.77734375" bestFit="1" customWidth="1"/>
    <col min="3" max="3" width="10.44140625" bestFit="1" customWidth="1"/>
    <col min="6" max="6" width="12.77734375" bestFit="1" customWidth="1"/>
  </cols>
  <sheetData>
    <row r="4" spans="2:6" x14ac:dyDescent="0.3">
      <c r="B4" t="s">
        <v>1053</v>
      </c>
    </row>
    <row r="6" spans="2:6" x14ac:dyDescent="0.3">
      <c r="B6" s="3" t="s">
        <v>1054</v>
      </c>
      <c r="C6" s="3" t="s">
        <v>41</v>
      </c>
      <c r="D6" s="3" t="s">
        <v>120</v>
      </c>
      <c r="E6" s="3" t="s">
        <v>1055</v>
      </c>
      <c r="F6" s="3" t="s">
        <v>1056</v>
      </c>
    </row>
    <row r="7" spans="2:6" x14ac:dyDescent="0.3">
      <c r="B7" s="3" t="s">
        <v>1057</v>
      </c>
      <c r="C7" s="108">
        <f>'Daily Dashboard'!B3</f>
        <v>45858</v>
      </c>
      <c r="D7" s="109">
        <f>'Daily Dashboard'!C9</f>
        <v>22.929949138521675</v>
      </c>
      <c r="E7" s="109">
        <f>'Daily Dashboard'!D9</f>
        <v>30.299999999994213</v>
      </c>
      <c r="F7" s="109">
        <f>D7-E7</f>
        <v>-7.3700508614725386</v>
      </c>
    </row>
    <row r="8" spans="2:6" x14ac:dyDescent="0.3">
      <c r="B8" s="3" t="s">
        <v>1058</v>
      </c>
      <c r="C8" s="108">
        <f t="shared" ref="C8:C30" si="0">$C$7</f>
        <v>45858</v>
      </c>
      <c r="D8" s="3">
        <v>0</v>
      </c>
      <c r="E8" s="3">
        <v>0</v>
      </c>
      <c r="F8" s="3">
        <v>0</v>
      </c>
    </row>
    <row r="9" spans="2:6" x14ac:dyDescent="0.3">
      <c r="B9" s="3" t="s">
        <v>1059</v>
      </c>
      <c r="C9" s="108">
        <f t="shared" si="0"/>
        <v>45858</v>
      </c>
      <c r="D9" s="3">
        <v>0</v>
      </c>
      <c r="E9" s="3">
        <v>0</v>
      </c>
      <c r="F9" s="3">
        <v>0</v>
      </c>
    </row>
    <row r="10" spans="2:6" x14ac:dyDescent="0.3">
      <c r="B10" s="3" t="s">
        <v>1060</v>
      </c>
      <c r="C10" s="108">
        <f t="shared" si="0"/>
        <v>45858</v>
      </c>
      <c r="D10" s="3">
        <v>0</v>
      </c>
      <c r="E10" s="3">
        <v>0</v>
      </c>
      <c r="F10" s="3">
        <v>0</v>
      </c>
    </row>
    <row r="11" spans="2:6" x14ac:dyDescent="0.3">
      <c r="B11" s="3" t="s">
        <v>1061</v>
      </c>
      <c r="C11" s="108">
        <f t="shared" si="0"/>
        <v>45858</v>
      </c>
      <c r="D11" s="3">
        <v>0</v>
      </c>
      <c r="E11" s="3">
        <v>0</v>
      </c>
      <c r="F11" s="3">
        <v>0</v>
      </c>
    </row>
    <row r="12" spans="2:6" x14ac:dyDescent="0.3">
      <c r="B12" s="3" t="s">
        <v>1062</v>
      </c>
      <c r="C12" s="108">
        <f t="shared" si="0"/>
        <v>45858</v>
      </c>
      <c r="D12" s="3">
        <v>0</v>
      </c>
      <c r="E12" s="3">
        <v>0</v>
      </c>
      <c r="F12" s="3">
        <v>0</v>
      </c>
    </row>
    <row r="13" spans="2:6" x14ac:dyDescent="0.3">
      <c r="B13" s="3" t="s">
        <v>1063</v>
      </c>
      <c r="C13" s="108">
        <f t="shared" si="0"/>
        <v>45858</v>
      </c>
      <c r="D13" s="3">
        <v>0</v>
      </c>
      <c r="E13" s="3">
        <v>0</v>
      </c>
      <c r="F13" s="3">
        <v>0</v>
      </c>
    </row>
    <row r="14" spans="2:6" x14ac:dyDescent="0.3">
      <c r="B14" s="3" t="s">
        <v>1064</v>
      </c>
      <c r="C14" s="108">
        <f t="shared" si="0"/>
        <v>45858</v>
      </c>
      <c r="D14" s="3">
        <v>0</v>
      </c>
      <c r="E14" s="3">
        <v>0</v>
      </c>
      <c r="F14" s="3">
        <v>0</v>
      </c>
    </row>
    <row r="15" spans="2:6" x14ac:dyDescent="0.3">
      <c r="B15" s="3" t="s">
        <v>1065</v>
      </c>
      <c r="C15" s="108">
        <f t="shared" si="0"/>
        <v>45858</v>
      </c>
      <c r="D15" s="3">
        <v>0</v>
      </c>
      <c r="E15" s="3">
        <v>0</v>
      </c>
      <c r="F15" s="3">
        <v>0</v>
      </c>
    </row>
    <row r="16" spans="2:6" x14ac:dyDescent="0.3">
      <c r="B16" s="3" t="s">
        <v>1066</v>
      </c>
      <c r="C16" s="108">
        <f t="shared" si="0"/>
        <v>45858</v>
      </c>
      <c r="D16" s="3">
        <v>0</v>
      </c>
      <c r="E16" s="3">
        <v>0</v>
      </c>
      <c r="F16" s="3">
        <v>0</v>
      </c>
    </row>
    <row r="17" spans="2:7" x14ac:dyDescent="0.3">
      <c r="B17" s="3" t="s">
        <v>1067</v>
      </c>
      <c r="C17" s="108">
        <f t="shared" si="0"/>
        <v>45858</v>
      </c>
      <c r="D17" s="3">
        <v>0</v>
      </c>
      <c r="E17" s="3">
        <v>0</v>
      </c>
      <c r="F17" s="3">
        <v>0</v>
      </c>
    </row>
    <row r="18" spans="2:7" x14ac:dyDescent="0.3">
      <c r="B18" s="3" t="s">
        <v>1068</v>
      </c>
      <c r="C18" s="108">
        <f t="shared" si="0"/>
        <v>45858</v>
      </c>
      <c r="D18" s="3">
        <v>0</v>
      </c>
      <c r="E18" s="3">
        <v>0</v>
      </c>
      <c r="F18" s="3">
        <v>0</v>
      </c>
    </row>
    <row r="19" spans="2:7" x14ac:dyDescent="0.3">
      <c r="B19" s="3" t="s">
        <v>1069</v>
      </c>
      <c r="C19" s="108">
        <f t="shared" si="0"/>
        <v>45858</v>
      </c>
      <c r="D19" s="3">
        <v>0</v>
      </c>
      <c r="E19" s="3">
        <v>0</v>
      </c>
      <c r="F19" s="3">
        <v>0</v>
      </c>
    </row>
    <row r="20" spans="2:7" x14ac:dyDescent="0.3">
      <c r="B20" s="3" t="s">
        <v>1070</v>
      </c>
      <c r="C20" s="108">
        <f t="shared" si="0"/>
        <v>45858</v>
      </c>
      <c r="D20" s="3">
        <v>0</v>
      </c>
      <c r="E20" s="3">
        <v>0</v>
      </c>
      <c r="F20" s="3">
        <v>0</v>
      </c>
    </row>
    <row r="21" spans="2:7" x14ac:dyDescent="0.3">
      <c r="B21" s="3" t="s">
        <v>1071</v>
      </c>
      <c r="C21" s="108">
        <f t="shared" si="0"/>
        <v>45858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110">
        <f>(F21/100)*$D$7</f>
        <v>0.44942700311502337</v>
      </c>
    </row>
    <row r="22" spans="2:7" x14ac:dyDescent="0.3">
      <c r="B22" s="3" t="s">
        <v>1072</v>
      </c>
      <c r="C22" s="108">
        <f t="shared" si="0"/>
        <v>45858</v>
      </c>
      <c r="D22" s="3">
        <f>'Daily Dashboard'!C24*100</f>
        <v>98</v>
      </c>
      <c r="E22" s="3">
        <f>'Daily Dashboard'!D24*100</f>
        <v>100</v>
      </c>
      <c r="F22" s="3">
        <f>E22-D22</f>
        <v>2</v>
      </c>
      <c r="G22" s="110">
        <f>(F22/100)*$D$7</f>
        <v>0.45859898277043348</v>
      </c>
    </row>
    <row r="23" spans="2:7" x14ac:dyDescent="0.3">
      <c r="B23" s="3" t="s">
        <v>1073</v>
      </c>
      <c r="C23" s="108">
        <f t="shared" si="0"/>
        <v>45858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110">
        <f>((F23/100)*$D$7)*20%</f>
        <v>0</v>
      </c>
    </row>
    <row r="24" spans="2:7" x14ac:dyDescent="0.3">
      <c r="B24" s="3" t="s">
        <v>1074</v>
      </c>
      <c r="C24" s="108">
        <f t="shared" si="0"/>
        <v>45858</v>
      </c>
      <c r="D24" s="3">
        <v>0</v>
      </c>
      <c r="E24" s="3">
        <v>0</v>
      </c>
      <c r="F24" s="3">
        <v>0</v>
      </c>
    </row>
    <row r="25" spans="2:7" x14ac:dyDescent="0.3">
      <c r="B25" s="3" t="s">
        <v>1075</v>
      </c>
      <c r="C25" s="108">
        <f t="shared" si="0"/>
        <v>45858</v>
      </c>
      <c r="D25" s="3">
        <v>0</v>
      </c>
      <c r="E25" s="3">
        <v>0</v>
      </c>
      <c r="F25" s="3">
        <v>0</v>
      </c>
    </row>
    <row r="26" spans="2:7" x14ac:dyDescent="0.3">
      <c r="B26" s="3" t="s">
        <v>121</v>
      </c>
      <c r="C26" s="108">
        <f t="shared" si="0"/>
        <v>45858</v>
      </c>
      <c r="D26" s="111">
        <f>'Daily Dashboard'!$D$9</f>
        <v>30.299999999994213</v>
      </c>
      <c r="E26" s="111">
        <f>'Daily Dashboard'!$D$9</f>
        <v>30.299999999994213</v>
      </c>
      <c r="F26" s="111">
        <f>'Daily Dashboard'!$D$9</f>
        <v>30.299999999994213</v>
      </c>
    </row>
    <row r="27" spans="2:7" x14ac:dyDescent="0.3">
      <c r="B27" s="3" t="s">
        <v>1076</v>
      </c>
      <c r="C27" s="108">
        <f t="shared" si="0"/>
        <v>45858</v>
      </c>
      <c r="D27" s="3">
        <v>0</v>
      </c>
      <c r="E27" s="3">
        <v>0</v>
      </c>
      <c r="F27" s="3">
        <v>0</v>
      </c>
    </row>
    <row r="28" spans="2:7" x14ac:dyDescent="0.3">
      <c r="B28" s="3" t="s">
        <v>1077</v>
      </c>
      <c r="C28" s="108">
        <f t="shared" si="0"/>
        <v>45858</v>
      </c>
      <c r="D28" s="3">
        <v>0</v>
      </c>
      <c r="E28" s="3">
        <v>0</v>
      </c>
      <c r="F28" s="3">
        <v>0</v>
      </c>
    </row>
    <row r="29" spans="2:7" x14ac:dyDescent="0.3">
      <c r="B29" s="3" t="s">
        <v>1078</v>
      </c>
      <c r="C29" s="108">
        <f t="shared" si="0"/>
        <v>45858</v>
      </c>
      <c r="D29" s="3">
        <v>0</v>
      </c>
      <c r="E29" s="109">
        <f>-(F7+G30)+(SUM(G21:G23))</f>
        <v>4.2260220394661268</v>
      </c>
      <c r="F29" s="109">
        <f>E29</f>
        <v>4.2260220394661268</v>
      </c>
    </row>
    <row r="30" spans="2:7" x14ac:dyDescent="0.3">
      <c r="B30" s="3" t="s">
        <v>1079</v>
      </c>
      <c r="C30" s="108">
        <f t="shared" si="0"/>
        <v>45858</v>
      </c>
      <c r="D30" s="3">
        <f>'Daily Dashboard'!C18</f>
        <v>4.0451612903225804</v>
      </c>
      <c r="E30" s="112">
        <f>'Daily Dashboard'!D18</f>
        <v>4.76</v>
      </c>
      <c r="F30" s="3">
        <f>E30-D30</f>
        <v>0.71483870967741936</v>
      </c>
      <c r="G30">
        <f>(F30/D30)*D7</f>
        <v>4.052054807891869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21875" bestFit="1" customWidth="1"/>
    <col min="3" max="3" width="13.5546875" customWidth="1"/>
    <col min="4" max="4" width="13.44140625" customWidth="1"/>
    <col min="5" max="5" width="13.77734375" customWidth="1"/>
    <col min="6" max="6" width="14" customWidth="1"/>
    <col min="8" max="8" width="9.5546875" customWidth="1"/>
    <col min="9" max="9" width="9.777343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2.05" customHeight="1" x14ac:dyDescent="0.3">
      <c r="A1" s="47" t="s">
        <v>113</v>
      </c>
      <c r="B1" s="48">
        <f>'Daily Dashboard'!B3</f>
        <v>45858</v>
      </c>
      <c r="C1" s="38">
        <f>'Daily Dashboard'!$B$2</f>
        <v>45839</v>
      </c>
    </row>
    <row r="2" spans="1:14" ht="21" x14ac:dyDescent="0.3">
      <c r="A2" s="233" t="s">
        <v>322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5">
        <f>YEAR(B1)+IF(MONTH(B1)&gt;=4,1,0)</f>
        <v>2026</v>
      </c>
      <c r="B4" s="41">
        <f>($B$1-'Daily Dashboard'!$B$5)+1</f>
        <v>111</v>
      </c>
      <c r="C4" s="41">
        <f>_xlfn.XLOOKUP($C$1,'Modelling New'!$D:$D,'Modelling New'!S:S)</f>
        <v>601.80322580645168</v>
      </c>
      <c r="D4" s="42">
        <f>SUMIFS('Daily KPI'!$I:$I,'Daily KPI'!$B:$B,'Annual KPI'!$A$4,'Daily KPI'!$A:$A,"&lt;="&amp;'Annual KPI'!$B$1)</f>
        <v>546.01</v>
      </c>
      <c r="E4" s="41">
        <f>_xlfn.XLOOKUP($C$1,'Modelling New'!$D:$D,'Modelling New'!V:V)</f>
        <v>3315.4083651754663</v>
      </c>
      <c r="F4" s="42">
        <f>SUMIFS('Daily KPI'!$AA:$AA,'Daily KPI'!$B:$B,'Annual KPI'!$A$4,'Daily KPI'!$A:$A,"&lt;="&amp;'Annual KPI'!$B$1)/1000</f>
        <v>3297.4999999999936</v>
      </c>
      <c r="G4" s="43">
        <f>IFERROR(E4/C4/'Modelling New'!$AR$1,"")</f>
        <v>0.6868460670030937</v>
      </c>
      <c r="H4" s="44">
        <f>IFERROR(F4/D4/'Modelling New'!$AR$1,"")</f>
        <v>0.75294127592881388</v>
      </c>
      <c r="I4" s="43">
        <f>IFERROR(E4/(B4*24*'Modelling New'!$AR$1),"")</f>
        <v>0.15515997701011114</v>
      </c>
      <c r="J4" s="44">
        <f>IFERROR(F4/(B4*24*'Modelling New'!$AR$1),"")</f>
        <v>0.15432187164785721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0.96009451588787931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0.97960003136767648</v>
      </c>
    </row>
    <row r="8" spans="1:14" ht="21" x14ac:dyDescent="0.3">
      <c r="A8" s="233" t="s">
        <v>324</v>
      </c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20</v>
      </c>
      <c r="C13" s="34">
        <f>_xlfn.XLOOKUP($A13,'Modelling New'!$D:$D,'Modelling New'!$R:$R)</f>
        <v>80.903225806451616</v>
      </c>
      <c r="D13" s="35">
        <f>SUMIF('Daily KPI'!$D:$D,A13,'Daily KPI'!I:I)</f>
        <v>83.100000000000009</v>
      </c>
      <c r="E13" s="34">
        <f>_xlfn.XLOOKUP($A13,'Modelling New'!$D:$D,'Modelling New'!$U:$U)</f>
        <v>458.59898277043351</v>
      </c>
      <c r="F13" s="35">
        <f>SUMIF('Daily KPI'!$D:$D,A13,'Daily KPI'!$AA:$AA)/1000</f>
        <v>524.05000000000314</v>
      </c>
      <c r="G13" s="36">
        <f>IFERROR(E13/C13/'Modelling New'!$AR$1,"")</f>
        <v>0.70671473575739119</v>
      </c>
      <c r="H13" s="37">
        <f>IFERROR(F13/D13/'Modelling New'!$AR$1,"")</f>
        <v>0.78622816904075643</v>
      </c>
      <c r="I13" s="36">
        <f>IFERROR(E13/(B13*24*'Modelling New'!$AR$1),"")</f>
        <v>0.11911562884943126</v>
      </c>
      <c r="J13" s="37">
        <f>IFERROR(F13/(B13*24*'Modelling New'!$AR$1),"")</f>
        <v>0.13611575176518095</v>
      </c>
      <c r="K13" s="36">
        <f>_xlfn.XLOOKUP($A13,'Modelling New'!$D:$D,'Modelling New'!AF:AF)</f>
        <v>0.98</v>
      </c>
      <c r="L13" s="37">
        <f>IFERROR(AVERAGEIF('Daily KPI'!$D:$D,$A13,'Daily KPI'!$R:$R),"")</f>
        <v>0.97678101891101787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0.99915631343990863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77734375" bestFit="1" customWidth="1"/>
    <col min="3" max="3" width="13.44140625" customWidth="1"/>
    <col min="4" max="4" width="12" customWidth="1"/>
    <col min="5" max="5" width="12.44140625" customWidth="1"/>
    <col min="6" max="6" width="13.77734375" customWidth="1"/>
    <col min="8" max="8" width="9.44140625" customWidth="1"/>
    <col min="9" max="9" width="10.21875" customWidth="1"/>
    <col min="10" max="10" width="11.21875" customWidth="1"/>
    <col min="12" max="12" width="9.2187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45858</v>
      </c>
    </row>
    <row r="2" spans="1:14" ht="20.55" customHeight="1" x14ac:dyDescent="0.3">
      <c r="A2" s="233" t="s">
        <v>321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20</v>
      </c>
      <c r="C4" s="157">
        <f>_xlfn.XLOOKUP($A$4,'Modelling New'!$D:$D,'Modelling New'!$R:$R)</f>
        <v>80.903225806451616</v>
      </c>
      <c r="D4" s="65">
        <f>SUMIF('Daily KPI'!$D:$D,'Monthly KPI'!A4,'Daily KPI'!$I:$I)</f>
        <v>83.100000000000009</v>
      </c>
      <c r="E4" s="34">
        <f>_xlfn.XLOOKUP($A$4,'Modelling New'!$D:$D,'Modelling New'!U:U)</f>
        <v>458.59898277043351</v>
      </c>
      <c r="F4" s="65">
        <f>SUMIF('Daily KPI'!$D:$D,'Monthly KPI'!A4,'Daily KPI'!AA:AA)/1000</f>
        <v>524.05000000000314</v>
      </c>
      <c r="G4" s="36">
        <f>IFERROR(E4/C4/'Modelling New'!$AR$1,"")</f>
        <v>0.70671473575739119</v>
      </c>
      <c r="H4" s="37">
        <f>IFERROR(F4/D4/'Modelling New'!$AR$1,"")</f>
        <v>0.78622816904075643</v>
      </c>
      <c r="I4" s="36">
        <f>IFERROR(E4/(B4*24*'Modelling New'!$AR$1),"")</f>
        <v>0.11911562884943126</v>
      </c>
      <c r="J4" s="37">
        <f>IFERROR(F4/(B4*24*'Modelling New'!$AR$1),"")</f>
        <v>0.13611575176518095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0.97678101891101787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0.99915631343990863</v>
      </c>
    </row>
    <row r="7" spans="1:14" x14ac:dyDescent="0.3">
      <c r="A7" s="47" t="s">
        <v>326</v>
      </c>
      <c r="B7" s="48">
        <f>B8-6</f>
        <v>45852</v>
      </c>
    </row>
    <row r="8" spans="1:14" x14ac:dyDescent="0.3">
      <c r="A8" s="47" t="s">
        <v>327</v>
      </c>
      <c r="B8" s="48">
        <f>B1</f>
        <v>45858</v>
      </c>
    </row>
    <row r="10" spans="1:14" ht="21" x14ac:dyDescent="0.3">
      <c r="A10" s="233" t="s">
        <v>328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31.419999999999995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193.7499999999971</v>
      </c>
      <c r="G12" s="36">
        <f>IFERROR(E12/C12/'Modelling New'!$AR$1,"")</f>
        <v>0.7067147357573913</v>
      </c>
      <c r="H12" s="37">
        <f>IFERROR(F12/D12/'Modelling New'!$AR$1,"")</f>
        <v>0.76879832532352144</v>
      </c>
      <c r="I12" s="36">
        <f>IFERROR(E12/(B12*24*'Modelling New'!$AR$1),"")</f>
        <v>0.11911562884943129</v>
      </c>
      <c r="J12" s="37">
        <f>IFERROR(F12/(B12*24*'Modelling New'!$AR$1),"")</f>
        <v>0.14378359155752998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0.95527669827230266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0.99758946697116779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77734375" defaultRowHeight="14.4" x14ac:dyDescent="0.3"/>
  <cols>
    <col min="1" max="2" width="9.21875" style="7" customWidth="1"/>
    <col min="3" max="3" width="15.77734375" style="7" customWidth="1"/>
    <col min="4" max="6" width="8.77734375" style="7"/>
    <col min="7" max="7" width="20.5546875" style="7" customWidth="1"/>
    <col min="8" max="8" width="8.77734375" style="7"/>
    <col min="9" max="9" width="9.44140625" style="7" bestFit="1" customWidth="1"/>
    <col min="10" max="14" width="8.77734375" style="7"/>
    <col min="15" max="15" width="9.77734375" style="7" bestFit="1" customWidth="1"/>
    <col min="16" max="16" width="11" style="7" customWidth="1"/>
    <col min="17" max="17" width="15.21875" style="7" customWidth="1"/>
    <col min="18" max="19" width="10.77734375" style="7" customWidth="1"/>
    <col min="20" max="20" width="13" style="7" customWidth="1"/>
    <col min="21" max="25" width="12.77734375" style="7" customWidth="1"/>
    <col min="26" max="27" width="14.5546875" style="7" customWidth="1"/>
    <col min="28" max="29" width="15.5546875" style="7" customWidth="1"/>
    <col min="30" max="38" width="9.77734375" style="7" customWidth="1"/>
    <col min="39" max="39" width="12" style="7" bestFit="1" customWidth="1"/>
    <col min="40" max="40" width="11.21875" style="7" customWidth="1"/>
    <col min="41" max="42" width="8.77734375" style="7"/>
    <col min="43" max="43" width="10.5546875" style="7" bestFit="1" customWidth="1"/>
    <col min="44" max="16384" width="8.77734375" style="7"/>
  </cols>
  <sheetData>
    <row r="1" spans="1:44" ht="43.2" x14ac:dyDescent="0.3">
      <c r="A1" s="139" t="s">
        <v>58</v>
      </c>
      <c r="B1" s="139" t="s">
        <v>1129</v>
      </c>
      <c r="C1" s="139" t="s">
        <v>1130</v>
      </c>
      <c r="D1" s="139" t="s">
        <v>83</v>
      </c>
      <c r="E1" s="139" t="s">
        <v>1131</v>
      </c>
      <c r="F1" s="139" t="s">
        <v>1132</v>
      </c>
      <c r="G1" s="139" t="s">
        <v>1133</v>
      </c>
      <c r="H1" s="139" t="s">
        <v>1134</v>
      </c>
      <c r="I1" s="139" t="s">
        <v>1079</v>
      </c>
      <c r="J1" s="139" t="s">
        <v>1135</v>
      </c>
      <c r="K1" s="139" t="s">
        <v>1136</v>
      </c>
      <c r="L1" s="139" t="s">
        <v>1137</v>
      </c>
      <c r="M1" s="139" t="s">
        <v>1138</v>
      </c>
      <c r="N1" s="139" t="s">
        <v>1139</v>
      </c>
      <c r="O1" s="139" t="s">
        <v>1078</v>
      </c>
      <c r="P1" s="139" t="s">
        <v>1140</v>
      </c>
      <c r="Q1" s="139" t="s">
        <v>1141</v>
      </c>
      <c r="R1" s="139" t="s">
        <v>1142</v>
      </c>
      <c r="S1" s="139" t="s">
        <v>1143</v>
      </c>
      <c r="T1" s="139" t="s">
        <v>1144</v>
      </c>
      <c r="U1" s="139" t="s">
        <v>1145</v>
      </c>
      <c r="V1" s="139" t="s">
        <v>1146</v>
      </c>
      <c r="W1" s="139" t="s">
        <v>1147</v>
      </c>
      <c r="X1" s="139" t="s">
        <v>1148</v>
      </c>
      <c r="Y1" s="139" t="s">
        <v>1149</v>
      </c>
      <c r="Z1" s="139" t="s">
        <v>1150</v>
      </c>
      <c r="AA1" s="139" t="s">
        <v>1151</v>
      </c>
      <c r="AB1" s="139" t="s">
        <v>1152</v>
      </c>
      <c r="AC1" s="139" t="s">
        <v>1153</v>
      </c>
      <c r="AD1" s="139" t="s">
        <v>1154</v>
      </c>
      <c r="AE1" s="139" t="s">
        <v>1155</v>
      </c>
      <c r="AF1" s="139" t="s">
        <v>1156</v>
      </c>
      <c r="AG1" s="139" t="s">
        <v>1157</v>
      </c>
      <c r="AH1" s="139" t="s">
        <v>1158</v>
      </c>
      <c r="AI1" s="139" t="s">
        <v>1159</v>
      </c>
      <c r="AJ1" s="139" t="s">
        <v>1160</v>
      </c>
      <c r="AK1" s="139" t="s">
        <v>1161</v>
      </c>
      <c r="AL1" s="139" t="s">
        <v>1162</v>
      </c>
      <c r="AM1" s="139" t="s">
        <v>1193</v>
      </c>
      <c r="AN1" s="175" t="s">
        <v>1194</v>
      </c>
      <c r="AQ1" s="7" t="s">
        <v>3</v>
      </c>
      <c r="AR1" s="88">
        <v>8.0208999999999993</v>
      </c>
    </row>
    <row r="2" spans="1:44" x14ac:dyDescent="0.3">
      <c r="A2" s="140">
        <v>1</v>
      </c>
      <c r="B2" s="141" t="s">
        <v>1163</v>
      </c>
      <c r="C2" s="140">
        <v>4</v>
      </c>
      <c r="D2" s="142">
        <v>43191</v>
      </c>
      <c r="E2" s="143">
        <f t="shared" ref="E2:E3" si="0">YEAR(D2)</f>
        <v>2018</v>
      </c>
      <c r="F2" s="143" t="s">
        <v>1164</v>
      </c>
      <c r="G2" s="144">
        <f t="shared" ref="G2:G3" si="1">DAY(EOMONTH(D2,0))</f>
        <v>30</v>
      </c>
      <c r="H2" s="145">
        <v>193.6</v>
      </c>
      <c r="I2" s="145">
        <v>191.7</v>
      </c>
      <c r="J2" s="146"/>
      <c r="K2" s="145"/>
      <c r="L2" s="144"/>
      <c r="M2" s="147">
        <v>1055.6537985859879</v>
      </c>
      <c r="N2" s="147">
        <v>8.0208999999999993</v>
      </c>
      <c r="O2" s="148">
        <f t="shared" ref="O2:O3" si="2">IFERROR(M2/I2/N2,"")</f>
        <v>0.68655652664663702</v>
      </c>
      <c r="P2" s="146">
        <f t="shared" ref="P2:P3" si="3">IFERROR(I2/G2,"")</f>
        <v>6.39</v>
      </c>
      <c r="Q2" s="144">
        <f>COUNTIFS('Daily KPI'!$D:$D,D2,'Daily KPI'!$O:$O,"&gt;0")</f>
        <v>0</v>
      </c>
      <c r="R2" s="147">
        <f t="shared" ref="R2:R3" si="4">I2/G2*Q2</f>
        <v>0</v>
      </c>
      <c r="S2" s="147">
        <f>SUMIF($F$2:F2,F2,$R$2:R2)</f>
        <v>0</v>
      </c>
      <c r="T2" s="146">
        <f t="shared" ref="T2:T3" si="5">M2/G2</f>
        <v>35.188459952866268</v>
      </c>
      <c r="U2" s="147">
        <f t="shared" ref="U2:U3" si="6">M2/G2*Q2</f>
        <v>0</v>
      </c>
      <c r="V2" s="147">
        <f>SUMIF($F$2:F2,F2,$U$2:U2)</f>
        <v>0</v>
      </c>
      <c r="W2" s="148">
        <f t="shared" ref="W2:W3" si="7">IFERROR(T2/(24*N2),"")</f>
        <v>0.18279567521966711</v>
      </c>
      <c r="X2" s="148" t="str">
        <f t="shared" ref="X2:X33" si="8">IFERROR(U2/(24*N2*Q2),"")</f>
        <v/>
      </c>
      <c r="Y2" s="148" t="str">
        <f t="shared" ref="Y2:Y65" si="9">IFERROR(V2/(24*N2*SUMIFS($Q:$Q,$F:$F,$F2,$D:$D,"&lt;="&amp;D2)),"")</f>
        <v/>
      </c>
      <c r="Z2" s="146" t="str">
        <f>IFERROR(AVERAGEIF('Daily KPI'!$D:$D,Table14[[#This Row],[Month]],'Daily KPI'!$AB:$AB),"")</f>
        <v/>
      </c>
      <c r="AA2" s="149">
        <f>IFERROR(AVERAGEIF($F$2:F2,F2,$N$2:N2),"")</f>
        <v>8.0208999999999993</v>
      </c>
      <c r="AB2" s="147"/>
      <c r="AC2" s="146"/>
      <c r="AD2" s="146"/>
      <c r="AE2" s="148">
        <v>0.98040000000000005</v>
      </c>
      <c r="AF2" s="148">
        <v>0.98</v>
      </c>
      <c r="AG2" s="148"/>
      <c r="AH2" s="148"/>
      <c r="AI2" s="148"/>
      <c r="AJ2" s="148"/>
      <c r="AK2" s="148"/>
      <c r="AL2" s="148"/>
      <c r="AM2" s="173"/>
      <c r="AN2" s="173"/>
    </row>
    <row r="3" spans="1:44" x14ac:dyDescent="0.3">
      <c r="A3" s="141">
        <f t="shared" ref="A3:A66" si="10">A2+1</f>
        <v>2</v>
      </c>
      <c r="B3" s="141" t="s">
        <v>1165</v>
      </c>
      <c r="C3" s="140">
        <v>5</v>
      </c>
      <c r="D3" s="142">
        <v>43221</v>
      </c>
      <c r="E3" s="150">
        <f t="shared" si="0"/>
        <v>2018</v>
      </c>
      <c r="F3" s="143" t="s">
        <v>1164</v>
      </c>
      <c r="G3" s="151">
        <f t="shared" si="1"/>
        <v>31</v>
      </c>
      <c r="H3" s="149">
        <v>198.6</v>
      </c>
      <c r="I3" s="149">
        <v>186.4</v>
      </c>
      <c r="J3" s="152"/>
      <c r="K3" s="149"/>
      <c r="L3" s="151"/>
      <c r="M3" s="153">
        <v>1060.9585915437065</v>
      </c>
      <c r="N3" s="147">
        <v>8.0208999999999993</v>
      </c>
      <c r="O3" s="154">
        <f t="shared" si="2"/>
        <v>0.70962584466409462</v>
      </c>
      <c r="P3" s="152">
        <f t="shared" si="3"/>
        <v>6.0129032258064514</v>
      </c>
      <c r="Q3" s="151">
        <f>COUNTIFS('Daily KPI'!$D:$D,D3,'Daily KPI'!$O:$O,"&gt;0")</f>
        <v>0</v>
      </c>
      <c r="R3" s="153">
        <f t="shared" si="4"/>
        <v>0</v>
      </c>
      <c r="S3" s="153">
        <f>SUMIF($F$2:F3,F3,$R$2:R3)</f>
        <v>0</v>
      </c>
      <c r="T3" s="152">
        <f t="shared" si="5"/>
        <v>34.224470694958271</v>
      </c>
      <c r="U3" s="153">
        <f t="shared" si="6"/>
        <v>0</v>
      </c>
      <c r="V3" s="153">
        <f>SUMIF($F$2:F3,F3,$U$2:U3)</f>
        <v>0</v>
      </c>
      <c r="W3" s="154">
        <f t="shared" si="7"/>
        <v>0.17778798043734842</v>
      </c>
      <c r="X3" s="154" t="str">
        <f t="shared" si="8"/>
        <v/>
      </c>
      <c r="Y3" s="154" t="str">
        <f t="shared" si="9"/>
        <v/>
      </c>
      <c r="Z3" s="152" t="str">
        <f>IFERROR(AVERAGEIF('Daily KPI'!$D:$D,Table14[[#This Row],[Month]],'Daily KPI'!$AB:$AB),"")</f>
        <v/>
      </c>
      <c r="AA3" s="145">
        <f>IFERROR(AVERAGEIF($F$2:F3,F3,$N$2:N3),"")</f>
        <v>8.0208999999999993</v>
      </c>
      <c r="AB3" s="153"/>
      <c r="AC3" s="152"/>
      <c r="AD3" s="152"/>
      <c r="AE3" s="148">
        <v>0.98040000000000005</v>
      </c>
      <c r="AF3" s="148">
        <v>0.98</v>
      </c>
      <c r="AG3" s="148"/>
      <c r="AH3" s="154"/>
      <c r="AI3" s="154"/>
      <c r="AJ3" s="154"/>
      <c r="AK3" s="154"/>
      <c r="AL3" s="154"/>
      <c r="AM3" s="172"/>
      <c r="AN3" s="172"/>
    </row>
    <row r="4" spans="1:44" x14ac:dyDescent="0.3">
      <c r="A4" s="140">
        <f t="shared" si="10"/>
        <v>3</v>
      </c>
      <c r="B4" s="141" t="s">
        <v>1166</v>
      </c>
      <c r="C4" s="140">
        <v>6</v>
      </c>
      <c r="D4" s="142">
        <v>43252</v>
      </c>
      <c r="E4" s="143">
        <f>YEAR(D4)</f>
        <v>2018</v>
      </c>
      <c r="F4" s="143" t="s">
        <v>1164</v>
      </c>
      <c r="G4" s="144">
        <f>DAY(EOMONTH(D4,0))</f>
        <v>30</v>
      </c>
      <c r="H4" s="149">
        <v>154.80000000000001</v>
      </c>
      <c r="I4" s="149">
        <v>142.80000000000001</v>
      </c>
      <c r="J4" s="146"/>
      <c r="K4" s="149"/>
      <c r="L4" s="144"/>
      <c r="M4" s="147">
        <v>790.41415070006133</v>
      </c>
      <c r="N4" s="147">
        <v>8.0208999999999993</v>
      </c>
      <c r="O4" s="148">
        <f>IFERROR(M4/I4/N4,"")</f>
        <v>0.6900862870925315</v>
      </c>
      <c r="P4" s="146">
        <f>IFERROR(I4/G4,"")</f>
        <v>4.7600000000000007</v>
      </c>
      <c r="Q4" s="144">
        <f>COUNTIFS('Daily KPI'!$D:$D,D4,'Daily KPI'!$O:$O,"&gt;0")</f>
        <v>0</v>
      </c>
      <c r="R4" s="147">
        <f>I4/G4*Q4</f>
        <v>0</v>
      </c>
      <c r="S4" s="147">
        <f>SUMIF($F$4:F4,F4,$R$4:R4)</f>
        <v>0</v>
      </c>
      <c r="T4" s="146">
        <f>M4/G4</f>
        <v>26.347138356668712</v>
      </c>
      <c r="U4" s="147">
        <f>M4/G4*Q4</f>
        <v>0</v>
      </c>
      <c r="V4" s="147">
        <f>SUMIF($F$4:F4,F4,$U$4:U4)</f>
        <v>0</v>
      </c>
      <c r="W4" s="148">
        <f>IFERROR(T4/(24*N4),"")</f>
        <v>0.13686711360668541</v>
      </c>
      <c r="X4" s="148" t="str">
        <f t="shared" si="8"/>
        <v/>
      </c>
      <c r="Y4" s="148" t="str">
        <f t="shared" si="9"/>
        <v/>
      </c>
      <c r="Z4" s="146" t="str">
        <f>IFERROR(AVERAGEIF('Daily KPI'!$D:$D,Table14[[#This Row],[Month]],'Daily KPI'!$AB:$AB),"")</f>
        <v/>
      </c>
      <c r="AA4" s="149">
        <f>IFERROR(AVERAGEIF($F$4:F4,F4,$N$4:N4),"")</f>
        <v>8.0208999999999993</v>
      </c>
      <c r="AB4" s="147"/>
      <c r="AC4" s="146"/>
      <c r="AD4" s="146"/>
      <c r="AE4" s="148">
        <v>0.98040000000000005</v>
      </c>
      <c r="AF4" s="148">
        <v>0.98</v>
      </c>
      <c r="AG4" s="148"/>
      <c r="AH4" s="148"/>
      <c r="AI4" s="148"/>
      <c r="AJ4" s="148"/>
      <c r="AK4" s="148"/>
      <c r="AL4" s="148"/>
      <c r="AM4" s="172"/>
      <c r="AN4" s="172"/>
    </row>
    <row r="5" spans="1:44" x14ac:dyDescent="0.3">
      <c r="A5" s="141">
        <f t="shared" si="10"/>
        <v>4</v>
      </c>
      <c r="B5" s="141" t="s">
        <v>1167</v>
      </c>
      <c r="C5" s="140">
        <v>7</v>
      </c>
      <c r="D5" s="142">
        <v>43282</v>
      </c>
      <c r="E5" s="150">
        <f>YEAR(D5)</f>
        <v>2018</v>
      </c>
      <c r="F5" s="143" t="s">
        <v>1164</v>
      </c>
      <c r="G5" s="151">
        <f>DAY(EOMONTH(D5,0))</f>
        <v>31</v>
      </c>
      <c r="H5" s="149">
        <v>134.4</v>
      </c>
      <c r="I5" s="149">
        <v>125.4</v>
      </c>
      <c r="J5" s="152"/>
      <c r="K5" s="149"/>
      <c r="L5" s="151"/>
      <c r="M5" s="153">
        <v>721.45184224972047</v>
      </c>
      <c r="N5" s="147">
        <v>8.0208999999999993</v>
      </c>
      <c r="O5" s="154">
        <f>IFERROR(M5/I5/N5,"")</f>
        <v>0.71727667514245075</v>
      </c>
      <c r="P5" s="152">
        <f>IFERROR(I5/G5,"")</f>
        <v>4.0451612903225804</v>
      </c>
      <c r="Q5" s="151">
        <f>COUNTIFS('Daily KPI'!$D:$D,D5,'Daily KPI'!$O:$O,"&gt;0")</f>
        <v>0</v>
      </c>
      <c r="R5" s="153">
        <f>I5/G5*Q5</f>
        <v>0</v>
      </c>
      <c r="S5" s="153">
        <f>SUMIF($F$5:F5,F5,$R$5:R5)</f>
        <v>0</v>
      </c>
      <c r="T5" s="152">
        <f>M5/G5</f>
        <v>23.27264007257163</v>
      </c>
      <c r="U5" s="153">
        <f>M5/G5*Q5</f>
        <v>0</v>
      </c>
      <c r="V5" s="153">
        <f>SUMIF($F$5:F5,F5,$U$5:U5)</f>
        <v>0</v>
      </c>
      <c r="W5" s="154">
        <f>IFERROR(T5/(24*N5),"")</f>
        <v>0.12089582669739696</v>
      </c>
      <c r="X5" s="154" t="str">
        <f t="shared" si="8"/>
        <v/>
      </c>
      <c r="Y5" s="154" t="str">
        <f t="shared" si="9"/>
        <v/>
      </c>
      <c r="Z5" s="152" t="str">
        <f>IFERROR(AVERAGEIF('Daily KPI'!$D:$D,Table14[[#This Row],[Month]],'Daily KPI'!$AB:$AB),"")</f>
        <v/>
      </c>
      <c r="AA5" s="145">
        <f>IFERROR(AVERAGEIF($F$5:F5,F5,$N$5:N5),"")</f>
        <v>8.0208999999999993</v>
      </c>
      <c r="AB5" s="153"/>
      <c r="AC5" s="152"/>
      <c r="AD5" s="152"/>
      <c r="AE5" s="148">
        <v>0.98040000000000005</v>
      </c>
      <c r="AF5" s="148">
        <v>0.98</v>
      </c>
      <c r="AG5" s="148"/>
      <c r="AH5" s="154"/>
      <c r="AI5" s="154"/>
      <c r="AJ5" s="154"/>
      <c r="AK5" s="154"/>
      <c r="AL5" s="154"/>
      <c r="AM5" s="172"/>
      <c r="AN5" s="172"/>
    </row>
    <row r="6" spans="1:44" x14ac:dyDescent="0.3">
      <c r="A6" s="140">
        <f t="shared" si="10"/>
        <v>5</v>
      </c>
      <c r="B6" s="141" t="s">
        <v>1168</v>
      </c>
      <c r="C6" s="140">
        <v>8</v>
      </c>
      <c r="D6" s="142">
        <v>43313</v>
      </c>
      <c r="E6" s="143">
        <f t="shared" ref="E6:E13" si="11">YEAR(D6)</f>
        <v>2018</v>
      </c>
      <c r="F6" s="143" t="s">
        <v>1164</v>
      </c>
      <c r="G6" s="144">
        <f t="shared" ref="G6:G13" si="12">DAY(EOMONTH(D6,0))</f>
        <v>31</v>
      </c>
      <c r="H6" s="149">
        <v>134.6</v>
      </c>
      <c r="I6" s="149">
        <v>130.69999999999999</v>
      </c>
      <c r="J6" s="146"/>
      <c r="K6" s="149"/>
      <c r="L6" s="144"/>
      <c r="M6" s="147">
        <v>763.89018591146873</v>
      </c>
      <c r="N6" s="147">
        <v>8.0208999999999993</v>
      </c>
      <c r="O6" s="148">
        <f t="shared" ref="O6:O69" si="13">IFERROR(M6/I6/N6,"")</f>
        <v>0.72867226748797886</v>
      </c>
      <c r="P6" s="146">
        <f t="shared" ref="P6:P69" si="14">IFERROR(I6/G6,"")</f>
        <v>4.2161290322580642</v>
      </c>
      <c r="Q6" s="144">
        <f>COUNTIFS('Daily KPI'!$D:$D,D6,'Daily KPI'!$O:$O,"&gt;0")</f>
        <v>0</v>
      </c>
      <c r="R6" s="147">
        <f t="shared" ref="R6:R69" si="15">I6/G6*Q6</f>
        <v>0</v>
      </c>
      <c r="S6" s="147">
        <f>SUMIF($F$6:F6,F6,$R$6:R6)</f>
        <v>0</v>
      </c>
      <c r="T6" s="146">
        <f t="shared" ref="T6:T69" si="16">M6/G6</f>
        <v>24.641618900369959</v>
      </c>
      <c r="U6" s="147">
        <f t="shared" ref="U6:U69" si="17">M6/G6*Q6</f>
        <v>0</v>
      </c>
      <c r="V6" s="147">
        <f>SUMIF($F$6:F6,F6,$U$6:U6)</f>
        <v>0</v>
      </c>
      <c r="W6" s="148">
        <f t="shared" ref="W6:W69" si="18">IFERROR(T6/(24*N6),"")</f>
        <v>0.12800734591489088</v>
      </c>
      <c r="X6" s="148" t="str">
        <f t="shared" si="8"/>
        <v/>
      </c>
      <c r="Y6" s="148" t="str">
        <f t="shared" si="9"/>
        <v/>
      </c>
      <c r="Z6" s="146" t="str">
        <f>IFERROR(AVERAGEIF('Daily KPI'!$D:$D,Table14[[#This Row],[Month]],'Daily KPI'!$AB:$AB),"")</f>
        <v/>
      </c>
      <c r="AA6" s="149">
        <f>IFERROR(AVERAGEIF($F$6:F6,F6,$N$6:N6),"")</f>
        <v>8.0208999999999993</v>
      </c>
      <c r="AB6" s="147"/>
      <c r="AC6" s="146"/>
      <c r="AD6" s="146"/>
      <c r="AE6" s="148">
        <v>0.98040000000000005</v>
      </c>
      <c r="AF6" s="148">
        <v>0.98</v>
      </c>
      <c r="AG6" s="148"/>
      <c r="AH6" s="148"/>
      <c r="AI6" s="148"/>
      <c r="AJ6" s="148"/>
      <c r="AK6" s="148"/>
      <c r="AL6" s="148"/>
      <c r="AM6" s="172"/>
      <c r="AN6" s="172"/>
    </row>
    <row r="7" spans="1:44" x14ac:dyDescent="0.3">
      <c r="A7" s="140">
        <f t="shared" si="10"/>
        <v>6</v>
      </c>
      <c r="B7" s="141" t="s">
        <v>1169</v>
      </c>
      <c r="C7" s="140">
        <v>9</v>
      </c>
      <c r="D7" s="142">
        <v>43344</v>
      </c>
      <c r="E7" s="143">
        <f t="shared" si="11"/>
        <v>2018</v>
      </c>
      <c r="F7" s="143" t="s">
        <v>1164</v>
      </c>
      <c r="G7" s="151">
        <f t="shared" si="12"/>
        <v>30</v>
      </c>
      <c r="H7" s="149">
        <v>142.5</v>
      </c>
      <c r="I7" s="149">
        <v>145.4</v>
      </c>
      <c r="J7" s="146"/>
      <c r="K7" s="149"/>
      <c r="L7" s="144"/>
      <c r="M7" s="147">
        <v>827.54770140409107</v>
      </c>
      <c r="N7" s="147">
        <v>8.0208999999999993</v>
      </c>
      <c r="O7" s="148">
        <f t="shared" si="13"/>
        <v>0.70958680060111445</v>
      </c>
      <c r="P7" s="146">
        <f t="shared" si="14"/>
        <v>4.8466666666666667</v>
      </c>
      <c r="Q7" s="144">
        <f>COUNTIFS('Daily KPI'!$D:$D,D7,'Daily KPI'!$O:$O,"&gt;0")</f>
        <v>0</v>
      </c>
      <c r="R7" s="147">
        <f t="shared" si="15"/>
        <v>0</v>
      </c>
      <c r="S7" s="147">
        <f>SUMIF($F$6:F7,F7,$R$6:R7)</f>
        <v>0</v>
      </c>
      <c r="T7" s="146">
        <f t="shared" si="16"/>
        <v>27.58492338013637</v>
      </c>
      <c r="U7" s="147">
        <f t="shared" si="17"/>
        <v>0</v>
      </c>
      <c r="V7" s="147">
        <f>SUMIF($F$6:F7,F7,$U$6:U7)</f>
        <v>0</v>
      </c>
      <c r="W7" s="148">
        <f t="shared" si="18"/>
        <v>0.14329711223250285</v>
      </c>
      <c r="X7" s="148" t="str">
        <f t="shared" si="8"/>
        <v/>
      </c>
      <c r="Y7" s="148" t="str">
        <f t="shared" si="9"/>
        <v/>
      </c>
      <c r="Z7" s="146" t="str">
        <f>IFERROR(AVERAGEIF('Daily KPI'!$D:$D,Table14[[#This Row],[Month]],'Daily KPI'!$AB:$AB),"")</f>
        <v/>
      </c>
      <c r="AA7" s="149">
        <f>IFERROR(AVERAGEIF($F$6:F7,F7,$N$6:N7),"")</f>
        <v>8.0208999999999993</v>
      </c>
      <c r="AB7" s="147"/>
      <c r="AC7" s="146"/>
      <c r="AD7" s="146"/>
      <c r="AE7" s="148">
        <v>0.98040000000000005</v>
      </c>
      <c r="AF7" s="148">
        <v>0.98</v>
      </c>
      <c r="AG7" s="148"/>
      <c r="AH7" s="148"/>
      <c r="AI7" s="148"/>
      <c r="AJ7" s="148"/>
      <c r="AK7" s="148"/>
      <c r="AL7" s="148"/>
      <c r="AM7" s="172"/>
      <c r="AN7" s="172"/>
    </row>
    <row r="8" spans="1:44" x14ac:dyDescent="0.3">
      <c r="A8" s="141">
        <f t="shared" si="10"/>
        <v>7</v>
      </c>
      <c r="B8" s="141" t="s">
        <v>1170</v>
      </c>
      <c r="C8" s="140">
        <v>10</v>
      </c>
      <c r="D8" s="142">
        <v>43374</v>
      </c>
      <c r="E8" s="150">
        <f t="shared" si="11"/>
        <v>2018</v>
      </c>
      <c r="F8" s="143" t="s">
        <v>1164</v>
      </c>
      <c r="G8" s="144">
        <f t="shared" si="12"/>
        <v>31</v>
      </c>
      <c r="H8" s="149">
        <v>145.69999999999999</v>
      </c>
      <c r="I8" s="149">
        <v>158.80000000000001</v>
      </c>
      <c r="J8" s="152"/>
      <c r="K8" s="145"/>
      <c r="L8" s="151"/>
      <c r="M8" s="153">
        <v>938.9483535161803</v>
      </c>
      <c r="N8" s="147">
        <v>8.0208999999999993</v>
      </c>
      <c r="O8" s="154">
        <f t="shared" si="13"/>
        <v>0.73717076724916697</v>
      </c>
      <c r="P8" s="152">
        <f t="shared" si="14"/>
        <v>5.1225806451612907</v>
      </c>
      <c r="Q8" s="151">
        <f>COUNTIFS('Daily KPI'!$D:$D,D8,'Daily KPI'!$O:$O,"&gt;0")</f>
        <v>0</v>
      </c>
      <c r="R8" s="153">
        <f t="shared" si="15"/>
        <v>0</v>
      </c>
      <c r="S8" s="153">
        <f>SUMIF($F$6:F8,F8,$R$6:R8)</f>
        <v>0</v>
      </c>
      <c r="T8" s="152">
        <f t="shared" si="16"/>
        <v>30.288656565038075</v>
      </c>
      <c r="U8" s="153">
        <f t="shared" si="17"/>
        <v>0</v>
      </c>
      <c r="V8" s="153">
        <f>SUMIF($F$6:F8,F8,$U$6:U8)</f>
        <v>0</v>
      </c>
      <c r="W8" s="154">
        <f t="shared" si="18"/>
        <v>0.15734236268705337</v>
      </c>
      <c r="X8" s="154" t="str">
        <f t="shared" si="8"/>
        <v/>
      </c>
      <c r="Y8" s="154" t="str">
        <f t="shared" si="9"/>
        <v/>
      </c>
      <c r="Z8" s="152" t="str">
        <f>IFERROR(AVERAGEIF('Daily KPI'!$D:$D,Table14[[#This Row],[Month]],'Daily KPI'!$AB:$AB),"")</f>
        <v/>
      </c>
      <c r="AA8" s="145">
        <f>IFERROR(AVERAGEIF($F$6:F8,F8,$N$6:N8),"")</f>
        <v>8.0208999999999993</v>
      </c>
      <c r="AB8" s="153"/>
      <c r="AC8" s="152"/>
      <c r="AD8" s="152"/>
      <c r="AE8" s="148">
        <v>0.98040000000000005</v>
      </c>
      <c r="AF8" s="148">
        <v>0.98</v>
      </c>
      <c r="AG8" s="148"/>
      <c r="AH8" s="154"/>
      <c r="AI8" s="154"/>
      <c r="AJ8" s="154"/>
      <c r="AK8" s="154"/>
      <c r="AL8" s="154"/>
      <c r="AM8" s="172"/>
      <c r="AN8" s="172"/>
    </row>
    <row r="9" spans="1:44" x14ac:dyDescent="0.3">
      <c r="A9" s="140">
        <f t="shared" si="10"/>
        <v>8</v>
      </c>
      <c r="B9" s="141" t="s">
        <v>1171</v>
      </c>
      <c r="C9" s="140">
        <v>11</v>
      </c>
      <c r="D9" s="142">
        <v>43405</v>
      </c>
      <c r="E9" s="143">
        <f t="shared" si="11"/>
        <v>2018</v>
      </c>
      <c r="F9" s="143" t="s">
        <v>1164</v>
      </c>
      <c r="G9" s="144">
        <f t="shared" si="12"/>
        <v>30</v>
      </c>
      <c r="H9" s="149">
        <v>138.9</v>
      </c>
      <c r="I9" s="149">
        <v>163</v>
      </c>
      <c r="J9" s="146"/>
      <c r="K9" s="149"/>
      <c r="L9" s="144"/>
      <c r="M9" s="147">
        <v>944.25314647389882</v>
      </c>
      <c r="N9" s="147">
        <v>8.0208999999999993</v>
      </c>
      <c r="O9" s="148">
        <f t="shared" si="13"/>
        <v>0.7222336756220531</v>
      </c>
      <c r="P9" s="146">
        <f t="shared" si="14"/>
        <v>5.4333333333333336</v>
      </c>
      <c r="Q9" s="144">
        <f>COUNTIFS('Daily KPI'!$D:$D,D9,'Daily KPI'!$O:$O,"&gt;0")</f>
        <v>0</v>
      </c>
      <c r="R9" s="147">
        <f t="shared" si="15"/>
        <v>0</v>
      </c>
      <c r="S9" s="147">
        <f>SUMIF($F$6:F9,F9,$R$6:R9)</f>
        <v>0</v>
      </c>
      <c r="T9" s="146">
        <f t="shared" si="16"/>
        <v>31.475104882463295</v>
      </c>
      <c r="U9" s="147">
        <f t="shared" si="17"/>
        <v>0</v>
      </c>
      <c r="V9" s="147">
        <f>SUMIF($F$6:F9,F9,$U$6:U9)</f>
        <v>0</v>
      </c>
      <c r="W9" s="148">
        <f t="shared" si="18"/>
        <v>0.1635056793422148</v>
      </c>
      <c r="X9" s="148" t="str">
        <f t="shared" si="8"/>
        <v/>
      </c>
      <c r="Y9" s="148" t="str">
        <f t="shared" si="9"/>
        <v/>
      </c>
      <c r="Z9" s="146" t="str">
        <f>IFERROR(AVERAGEIF('Daily KPI'!$D:$D,Table14[[#This Row],[Month]],'Daily KPI'!$AB:$AB),"")</f>
        <v/>
      </c>
      <c r="AA9" s="149">
        <f>IFERROR(AVERAGEIF($F$6:F9,F9,$N$6:N9),"")</f>
        <v>8.0208999999999993</v>
      </c>
      <c r="AB9" s="147"/>
      <c r="AC9" s="146"/>
      <c r="AD9" s="146"/>
      <c r="AE9" s="148">
        <v>0.98040000000000005</v>
      </c>
      <c r="AF9" s="148">
        <v>0.98</v>
      </c>
      <c r="AG9" s="148"/>
      <c r="AH9" s="148"/>
      <c r="AI9" s="148"/>
      <c r="AJ9" s="148"/>
      <c r="AK9" s="148"/>
      <c r="AL9" s="148"/>
      <c r="AM9" s="172"/>
      <c r="AN9" s="172"/>
    </row>
    <row r="10" spans="1:44" x14ac:dyDescent="0.3">
      <c r="A10" s="141">
        <f t="shared" si="10"/>
        <v>9</v>
      </c>
      <c r="B10" s="141" t="s">
        <v>1172</v>
      </c>
      <c r="C10" s="140">
        <v>12</v>
      </c>
      <c r="D10" s="142">
        <v>43435</v>
      </c>
      <c r="E10" s="150">
        <f t="shared" si="11"/>
        <v>2018</v>
      </c>
      <c r="F10" s="143" t="s">
        <v>1164</v>
      </c>
      <c r="G10" s="151">
        <f t="shared" si="12"/>
        <v>31</v>
      </c>
      <c r="H10" s="149">
        <v>134.69999999999999</v>
      </c>
      <c r="I10" s="149">
        <v>163.69999999999999</v>
      </c>
      <c r="J10" s="152"/>
      <c r="K10" s="145"/>
      <c r="L10" s="151"/>
      <c r="M10" s="153">
        <v>981.38669717792857</v>
      </c>
      <c r="N10" s="147">
        <v>8.0208999999999993</v>
      </c>
      <c r="O10" s="154">
        <f t="shared" si="13"/>
        <v>0.74742631726929265</v>
      </c>
      <c r="P10" s="152">
        <f t="shared" si="14"/>
        <v>5.2806451612903222</v>
      </c>
      <c r="Q10" s="151">
        <f>COUNTIFS('Daily KPI'!$D:$D,D10,'Daily KPI'!$O:$O,"&gt;0")</f>
        <v>0</v>
      </c>
      <c r="R10" s="153">
        <f t="shared" si="15"/>
        <v>0</v>
      </c>
      <c r="S10" s="153">
        <f>SUMIF($F$6:F10,F10,$R$6:R10)</f>
        <v>0</v>
      </c>
      <c r="T10" s="152">
        <f t="shared" si="16"/>
        <v>31.657635392836404</v>
      </c>
      <c r="U10" s="153">
        <f t="shared" si="17"/>
        <v>0</v>
      </c>
      <c r="V10" s="153">
        <f>SUMIF($F$6:F10,F10,$U$6:U10)</f>
        <v>0</v>
      </c>
      <c r="W10" s="154">
        <f t="shared" si="18"/>
        <v>0.16445388190454732</v>
      </c>
      <c r="X10" s="154" t="str">
        <f t="shared" si="8"/>
        <v/>
      </c>
      <c r="Y10" s="154" t="str">
        <f t="shared" si="9"/>
        <v/>
      </c>
      <c r="Z10" s="152" t="str">
        <f>IFERROR(AVERAGEIF('Daily KPI'!$D:$D,Table14[[#This Row],[Month]],'Daily KPI'!$AB:$AB),"")</f>
        <v/>
      </c>
      <c r="AA10" s="145">
        <f>IFERROR(AVERAGEIF($F$6:F10,F10,$N$6:N10),"")</f>
        <v>8.0208999999999993</v>
      </c>
      <c r="AB10" s="153"/>
      <c r="AC10" s="152"/>
      <c r="AD10" s="152"/>
      <c r="AE10" s="148">
        <v>0.98040000000000005</v>
      </c>
      <c r="AF10" s="148">
        <v>0.98</v>
      </c>
      <c r="AG10" s="148"/>
      <c r="AH10" s="154"/>
      <c r="AI10" s="154"/>
      <c r="AJ10" s="154"/>
      <c r="AK10" s="154"/>
      <c r="AL10" s="154"/>
      <c r="AM10" s="172"/>
      <c r="AN10" s="172"/>
    </row>
    <row r="11" spans="1:44" x14ac:dyDescent="0.3">
      <c r="A11" s="140">
        <f t="shared" si="10"/>
        <v>10</v>
      </c>
      <c r="B11" s="141" t="s">
        <v>1173</v>
      </c>
      <c r="C11" s="140">
        <v>1</v>
      </c>
      <c r="D11" s="142">
        <v>43466</v>
      </c>
      <c r="E11" s="143">
        <f t="shared" si="11"/>
        <v>2019</v>
      </c>
      <c r="F11" s="143" t="s">
        <v>1164</v>
      </c>
      <c r="G11" s="144">
        <f t="shared" si="12"/>
        <v>31</v>
      </c>
      <c r="H11" s="149">
        <v>151.6</v>
      </c>
      <c r="I11" s="149">
        <v>183.9</v>
      </c>
      <c r="J11" s="146"/>
      <c r="K11" s="149"/>
      <c r="L11" s="144"/>
      <c r="M11" s="147">
        <v>1087.4825563322993</v>
      </c>
      <c r="N11" s="147">
        <v>8.0208999999999993</v>
      </c>
      <c r="O11" s="148">
        <f t="shared" si="13"/>
        <v>0.73725456161784642</v>
      </c>
      <c r="P11" s="146">
        <f t="shared" si="14"/>
        <v>5.9322580645161294</v>
      </c>
      <c r="Q11" s="144">
        <f>COUNTIFS('Daily KPI'!$D:$D,D11,'Daily KPI'!$O:$O,"&gt;0")</f>
        <v>0</v>
      </c>
      <c r="R11" s="147">
        <f t="shared" si="15"/>
        <v>0</v>
      </c>
      <c r="S11" s="147">
        <f>SUMIF($F$6:F11,F11,$R$6:R11)</f>
        <v>0</v>
      </c>
      <c r="T11" s="146">
        <f t="shared" si="16"/>
        <v>35.080082462332236</v>
      </c>
      <c r="U11" s="147">
        <f t="shared" si="17"/>
        <v>0</v>
      </c>
      <c r="V11" s="147">
        <f>SUMIF($F$6:F11,F11,$U$6:U11)</f>
        <v>0</v>
      </c>
      <c r="W11" s="148">
        <f t="shared" si="18"/>
        <v>0.18223267994828218</v>
      </c>
      <c r="X11" s="148" t="str">
        <f t="shared" si="8"/>
        <v/>
      </c>
      <c r="Y11" s="148" t="str">
        <f t="shared" si="9"/>
        <v/>
      </c>
      <c r="Z11" s="146" t="str">
        <f>IFERROR(AVERAGEIF('Daily KPI'!$D:$D,Table14[[#This Row],[Month]],'Daily KPI'!$AB:$AB),"")</f>
        <v/>
      </c>
      <c r="AA11" s="149">
        <f>IFERROR(AVERAGEIF($F$6:F11,F11,$N$6:N11),"")</f>
        <v>8.0208999999999993</v>
      </c>
      <c r="AB11" s="147"/>
      <c r="AC11" s="146"/>
      <c r="AD11" s="146"/>
      <c r="AE11" s="148">
        <v>0.98040000000000005</v>
      </c>
      <c r="AF11" s="148">
        <v>0.98</v>
      </c>
      <c r="AG11" s="148"/>
      <c r="AH11" s="148"/>
      <c r="AI11" s="148"/>
      <c r="AJ11" s="148"/>
      <c r="AK11" s="148"/>
      <c r="AL11" s="148"/>
      <c r="AM11" s="172"/>
      <c r="AN11" s="172"/>
    </row>
    <row r="12" spans="1:44" x14ac:dyDescent="0.3">
      <c r="A12" s="141">
        <f t="shared" si="10"/>
        <v>11</v>
      </c>
      <c r="B12" s="141" t="s">
        <v>1174</v>
      </c>
      <c r="C12" s="140">
        <v>2</v>
      </c>
      <c r="D12" s="142">
        <v>43497</v>
      </c>
      <c r="E12" s="150">
        <f t="shared" si="11"/>
        <v>2019</v>
      </c>
      <c r="F12" s="143" t="s">
        <v>1164</v>
      </c>
      <c r="G12" s="151">
        <f t="shared" si="12"/>
        <v>28</v>
      </c>
      <c r="H12" s="149">
        <v>159.9</v>
      </c>
      <c r="I12" s="149">
        <v>184</v>
      </c>
      <c r="J12" s="152"/>
      <c r="K12" s="145"/>
      <c r="L12" s="151"/>
      <c r="M12" s="153">
        <v>1038.6058690088</v>
      </c>
      <c r="N12" s="147">
        <v>8.0208999999999993</v>
      </c>
      <c r="O12" s="154">
        <f t="shared" si="13"/>
        <v>0.70373612863622048</v>
      </c>
      <c r="P12" s="152">
        <f t="shared" si="14"/>
        <v>6.5714285714285712</v>
      </c>
      <c r="Q12" s="151">
        <f>COUNTIFS('Daily KPI'!$D:$D,D12,'Daily KPI'!$O:$O,"&gt;0")</f>
        <v>0</v>
      </c>
      <c r="R12" s="153">
        <f t="shared" si="15"/>
        <v>0</v>
      </c>
      <c r="S12" s="153">
        <f>SUMIF($F$6:F12,F12,$R$6:R12)</f>
        <v>0</v>
      </c>
      <c r="T12" s="152">
        <f t="shared" si="16"/>
        <v>37.093066750314286</v>
      </c>
      <c r="U12" s="153">
        <f t="shared" si="17"/>
        <v>0</v>
      </c>
      <c r="V12" s="153">
        <f>SUMIF($F$6:F12,F12,$U$6:U12)</f>
        <v>0</v>
      </c>
      <c r="W12" s="154">
        <f t="shared" si="18"/>
        <v>0.19268965426944132</v>
      </c>
      <c r="X12" s="154" t="str">
        <f t="shared" si="8"/>
        <v/>
      </c>
      <c r="Y12" s="154" t="str">
        <f t="shared" si="9"/>
        <v/>
      </c>
      <c r="Z12" s="152" t="str">
        <f>IFERROR(AVERAGEIF('Daily KPI'!$D:$D,Table14[[#This Row],[Month]],'Daily KPI'!$AB:$AB),"")</f>
        <v/>
      </c>
      <c r="AA12" s="145">
        <f>IFERROR(AVERAGEIF($F$6:F12,F12,$N$6:N12),"")</f>
        <v>8.0208999999999993</v>
      </c>
      <c r="AB12" s="153"/>
      <c r="AC12" s="152"/>
      <c r="AD12" s="152"/>
      <c r="AE12" s="148">
        <v>0.98040000000000005</v>
      </c>
      <c r="AF12" s="148">
        <v>0.98</v>
      </c>
      <c r="AG12" s="148"/>
      <c r="AH12" s="154"/>
      <c r="AI12" s="154"/>
      <c r="AJ12" s="154"/>
      <c r="AK12" s="154"/>
      <c r="AL12" s="154"/>
      <c r="AM12" s="172"/>
      <c r="AN12" s="172"/>
    </row>
    <row r="13" spans="1:44" x14ac:dyDescent="0.3">
      <c r="A13" s="140">
        <f t="shared" si="10"/>
        <v>12</v>
      </c>
      <c r="B13" s="141" t="s">
        <v>1175</v>
      </c>
      <c r="C13" s="140">
        <v>3</v>
      </c>
      <c r="D13" s="142">
        <v>43525</v>
      </c>
      <c r="E13" s="143">
        <f t="shared" si="11"/>
        <v>2019</v>
      </c>
      <c r="F13" s="143" t="s">
        <v>1164</v>
      </c>
      <c r="G13" s="144">
        <f t="shared" si="12"/>
        <v>31</v>
      </c>
      <c r="H13" s="149">
        <v>197.2</v>
      </c>
      <c r="I13" s="149">
        <v>210.4</v>
      </c>
      <c r="J13" s="146"/>
      <c r="K13" s="149"/>
      <c r="L13" s="144"/>
      <c r="M13" s="147">
        <v>1204.1880014021069</v>
      </c>
      <c r="N13" s="147">
        <v>8.0208999999999993</v>
      </c>
      <c r="O13" s="148">
        <f t="shared" si="13"/>
        <v>0.71355172148533519</v>
      </c>
      <c r="P13" s="146">
        <f t="shared" si="14"/>
        <v>6.7870967741935484</v>
      </c>
      <c r="Q13" s="144">
        <f>COUNTIFS('Daily KPI'!$D:$D,D13,'Daily KPI'!$O:$O,"&gt;0")</f>
        <v>0</v>
      </c>
      <c r="R13" s="147">
        <f t="shared" si="15"/>
        <v>0</v>
      </c>
      <c r="S13" s="147">
        <f>SUMIF($F$6:F13,F13,$R$6:R13)</f>
        <v>0</v>
      </c>
      <c r="T13" s="146">
        <f t="shared" si="16"/>
        <v>38.844774238777646</v>
      </c>
      <c r="U13" s="147">
        <f t="shared" si="17"/>
        <v>0</v>
      </c>
      <c r="V13" s="147">
        <f>SUMIF($F$6:F13,F13,$U$6:U13)</f>
        <v>0</v>
      </c>
      <c r="W13" s="148">
        <f t="shared" si="18"/>
        <v>0.20178935779639051</v>
      </c>
      <c r="X13" s="148" t="str">
        <f t="shared" si="8"/>
        <v/>
      </c>
      <c r="Y13" s="148" t="str">
        <f t="shared" si="9"/>
        <v/>
      </c>
      <c r="Z13" s="146" t="str">
        <f>IFERROR(AVERAGEIF('Daily KPI'!$D:$D,Table14[[#This Row],[Month]],'Daily KPI'!$AB:$AB),"")</f>
        <v/>
      </c>
      <c r="AA13" s="149">
        <f>IFERROR(AVERAGEIF($F$6:F13,F13,$N$6:N13),"")</f>
        <v>8.0208999999999993</v>
      </c>
      <c r="AB13" s="147"/>
      <c r="AC13" s="146"/>
      <c r="AD13" s="146"/>
      <c r="AE13" s="148">
        <v>0.98040000000000005</v>
      </c>
      <c r="AF13" s="148">
        <v>0.98</v>
      </c>
      <c r="AG13" s="148"/>
      <c r="AH13" s="148"/>
      <c r="AI13" s="148"/>
      <c r="AJ13" s="148"/>
      <c r="AK13" s="148"/>
      <c r="AL13" s="148"/>
      <c r="AM13" s="172"/>
      <c r="AN13" s="172"/>
    </row>
    <row r="14" spans="1:44" x14ac:dyDescent="0.3">
      <c r="A14" s="141">
        <f t="shared" si="10"/>
        <v>13</v>
      </c>
      <c r="B14" s="141" t="str">
        <f>B2</f>
        <v>April</v>
      </c>
      <c r="C14" s="141">
        <f>C2</f>
        <v>4</v>
      </c>
      <c r="D14" s="142">
        <v>43556</v>
      </c>
      <c r="E14" s="150">
        <f>YEAR(D14)</f>
        <v>2019</v>
      </c>
      <c r="F14" s="143" t="s">
        <v>1176</v>
      </c>
      <c r="G14" s="151">
        <f>DAY(EOMONTH(D14,0))</f>
        <v>30</v>
      </c>
      <c r="H14" s="149">
        <f>H2</f>
        <v>193.6</v>
      </c>
      <c r="I14" s="149">
        <f>I2</f>
        <v>191.7</v>
      </c>
      <c r="J14" s="152"/>
      <c r="K14" s="145"/>
      <c r="L14" s="151"/>
      <c r="M14" s="153">
        <f>M2</f>
        <v>1055.6537985859879</v>
      </c>
      <c r="N14" s="147">
        <v>8.0208999999999993</v>
      </c>
      <c r="O14" s="154">
        <f t="shared" si="13"/>
        <v>0.68655652664663702</v>
      </c>
      <c r="P14" s="152">
        <f t="shared" si="14"/>
        <v>6.39</v>
      </c>
      <c r="Q14" s="151">
        <f>COUNTIFS('Daily KPI'!$D:$D,D14,'Daily KPI'!$O:$O,"&gt;0")</f>
        <v>0</v>
      </c>
      <c r="R14" s="153">
        <f t="shared" si="15"/>
        <v>0</v>
      </c>
      <c r="S14" s="153">
        <f>SUMIF($F$6:F14,F14,$R$6:R14)</f>
        <v>0</v>
      </c>
      <c r="T14" s="152">
        <f t="shared" si="16"/>
        <v>35.188459952866268</v>
      </c>
      <c r="U14" s="153">
        <f t="shared" si="17"/>
        <v>0</v>
      </c>
      <c r="V14" s="153">
        <f>SUMIF($F$6:F14,F14,$U$6:U14)</f>
        <v>0</v>
      </c>
      <c r="W14" s="154">
        <f t="shared" si="18"/>
        <v>0.18279567521966711</v>
      </c>
      <c r="X14" s="154" t="str">
        <f t="shared" si="8"/>
        <v/>
      </c>
      <c r="Y14" s="154" t="str">
        <f t="shared" si="9"/>
        <v/>
      </c>
      <c r="Z14" s="152" t="str">
        <f>IFERROR(AVERAGEIF('Daily KPI'!$D:$D,Table14[[#This Row],[Month]],'Daily KPI'!$AB:$AB),"")</f>
        <v/>
      </c>
      <c r="AA14" s="145">
        <f>IFERROR(AVERAGEIF($F$6:F14,F14,$N$6:N14),"")</f>
        <v>8.0208999999999993</v>
      </c>
      <c r="AB14" s="153"/>
      <c r="AC14" s="152"/>
      <c r="AD14" s="152"/>
      <c r="AE14" s="148">
        <v>0.98040000000000005</v>
      </c>
      <c r="AF14" s="148">
        <v>0.98</v>
      </c>
      <c r="AG14" s="148"/>
      <c r="AH14" s="154"/>
      <c r="AI14" s="154"/>
      <c r="AJ14" s="154"/>
      <c r="AK14" s="154"/>
      <c r="AL14" s="154"/>
      <c r="AM14" s="172"/>
      <c r="AN14" s="172"/>
    </row>
    <row r="15" spans="1:44" x14ac:dyDescent="0.3">
      <c r="A15" s="140">
        <f t="shared" si="10"/>
        <v>14</v>
      </c>
      <c r="B15" s="141" t="str">
        <f t="shared" ref="B15:C30" si="19">B3</f>
        <v>May</v>
      </c>
      <c r="C15" s="141">
        <f t="shared" si="19"/>
        <v>5</v>
      </c>
      <c r="D15" s="142">
        <v>43586</v>
      </c>
      <c r="E15" s="143">
        <f>YEAR(D15)</f>
        <v>2019</v>
      </c>
      <c r="F15" s="143" t="s">
        <v>1176</v>
      </c>
      <c r="G15" s="144">
        <f>DAY(EOMONTH(D15,0))</f>
        <v>31</v>
      </c>
      <c r="H15" s="149">
        <f t="shared" ref="H15:I30" si="20">H3</f>
        <v>198.6</v>
      </c>
      <c r="I15" s="149">
        <f t="shared" si="20"/>
        <v>186.4</v>
      </c>
      <c r="J15" s="146"/>
      <c r="K15" s="145"/>
      <c r="L15" s="144"/>
      <c r="M15" s="153">
        <f t="shared" ref="M15:M78" si="21">M3</f>
        <v>1060.9585915437065</v>
      </c>
      <c r="N15" s="147">
        <v>8.0208999999999993</v>
      </c>
      <c r="O15" s="148">
        <f t="shared" si="13"/>
        <v>0.70962584466409462</v>
      </c>
      <c r="P15" s="146">
        <f t="shared" si="14"/>
        <v>6.0129032258064514</v>
      </c>
      <c r="Q15" s="144">
        <f>COUNTIFS('Daily KPI'!$D:$D,D15,'Daily KPI'!$O:$O,"&gt;0")</f>
        <v>0</v>
      </c>
      <c r="R15" s="147">
        <f t="shared" si="15"/>
        <v>0</v>
      </c>
      <c r="S15" s="147">
        <f>SUMIF($F$6:F15,F15,$R$6:R15)</f>
        <v>0</v>
      </c>
      <c r="T15" s="146">
        <f t="shared" si="16"/>
        <v>34.224470694958271</v>
      </c>
      <c r="U15" s="147">
        <f t="shared" si="17"/>
        <v>0</v>
      </c>
      <c r="V15" s="147">
        <f>SUMIF($F$6:F15,F15,$U$6:U15)</f>
        <v>0</v>
      </c>
      <c r="W15" s="148">
        <f t="shared" si="18"/>
        <v>0.17778798043734842</v>
      </c>
      <c r="X15" s="148" t="str">
        <f t="shared" si="8"/>
        <v/>
      </c>
      <c r="Y15" s="148" t="str">
        <f t="shared" si="9"/>
        <v/>
      </c>
      <c r="Z15" s="146" t="str">
        <f>IFERROR(AVERAGEIF('Daily KPI'!$D:$D,Table14[[#This Row],[Month]],'Daily KPI'!$AB:$AB),"")</f>
        <v/>
      </c>
      <c r="AA15" s="149">
        <f>IFERROR(AVERAGEIF($F$6:F15,F15,$N$6:N15),"")</f>
        <v>8.0208999999999993</v>
      </c>
      <c r="AB15" s="147"/>
      <c r="AC15" s="146"/>
      <c r="AD15" s="146"/>
      <c r="AE15" s="148">
        <v>0.98040000000000005</v>
      </c>
      <c r="AF15" s="148">
        <v>0.98</v>
      </c>
      <c r="AG15" s="148"/>
      <c r="AH15" s="148"/>
      <c r="AI15" s="148"/>
      <c r="AJ15" s="148"/>
      <c r="AK15" s="148"/>
      <c r="AL15" s="148"/>
      <c r="AM15" s="172"/>
      <c r="AN15" s="172"/>
    </row>
    <row r="16" spans="1:44" x14ac:dyDescent="0.3">
      <c r="A16" s="140">
        <f t="shared" si="10"/>
        <v>15</v>
      </c>
      <c r="B16" s="141" t="str">
        <f t="shared" si="19"/>
        <v>June</v>
      </c>
      <c r="C16" s="141">
        <f t="shared" si="19"/>
        <v>6</v>
      </c>
      <c r="D16" s="142">
        <v>43617</v>
      </c>
      <c r="E16" s="143">
        <f t="shared" ref="E16:E17" si="22">YEAR(D16)</f>
        <v>2019</v>
      </c>
      <c r="F16" s="143" t="s">
        <v>1176</v>
      </c>
      <c r="G16" s="144">
        <f t="shared" ref="G16:G79" si="23">DAY(EOMONTH(D16,0))</f>
        <v>30</v>
      </c>
      <c r="H16" s="149">
        <f t="shared" si="20"/>
        <v>154.80000000000001</v>
      </c>
      <c r="I16" s="149">
        <f t="shared" si="20"/>
        <v>142.80000000000001</v>
      </c>
      <c r="J16" s="146"/>
      <c r="K16" s="145"/>
      <c r="L16" s="144"/>
      <c r="M16" s="153">
        <f t="shared" si="21"/>
        <v>790.41415070006133</v>
      </c>
      <c r="N16" s="147">
        <v>8.0208999999999993</v>
      </c>
      <c r="O16" s="148">
        <f t="shared" si="13"/>
        <v>0.6900862870925315</v>
      </c>
      <c r="P16" s="146">
        <f t="shared" si="14"/>
        <v>4.7600000000000007</v>
      </c>
      <c r="Q16" s="144">
        <f>COUNTIFS('Daily KPI'!$D:$D,D16,'Daily KPI'!$O:$O,"&gt;0")</f>
        <v>0</v>
      </c>
      <c r="R16" s="147">
        <f t="shared" si="15"/>
        <v>0</v>
      </c>
      <c r="S16" s="147">
        <f>SUMIF($F$6:F16,F16,$R$6:R16)</f>
        <v>0</v>
      </c>
      <c r="T16" s="146">
        <f t="shared" si="16"/>
        <v>26.347138356668712</v>
      </c>
      <c r="U16" s="147">
        <f t="shared" si="17"/>
        <v>0</v>
      </c>
      <c r="V16" s="147">
        <f>SUMIF($F$2:F97,F16,$U$2:U97)</f>
        <v>0</v>
      </c>
      <c r="W16" s="148">
        <f t="shared" si="18"/>
        <v>0.13686711360668541</v>
      </c>
      <c r="X16" s="148" t="str">
        <f t="shared" si="8"/>
        <v/>
      </c>
      <c r="Y16" s="148" t="str">
        <f t="shared" si="9"/>
        <v/>
      </c>
      <c r="Z16" s="146" t="str">
        <f>IFERROR(AVERAGEIF('Daily KPI'!$D:$D,Table14[[#This Row],[Month]],'Daily KPI'!$AB:$AB),"")</f>
        <v/>
      </c>
      <c r="AA16" s="149">
        <f>IFERROR(AVERAGEIF($F$6:F16,F16,$N$6:N16),"")</f>
        <v>8.0208999999999993</v>
      </c>
      <c r="AB16" s="147"/>
      <c r="AC16" s="146"/>
      <c r="AD16" s="146"/>
      <c r="AE16" s="148">
        <v>0.98040000000000005</v>
      </c>
      <c r="AF16" s="148">
        <v>0.98</v>
      </c>
      <c r="AG16" s="148"/>
      <c r="AH16" s="148"/>
      <c r="AI16" s="148"/>
      <c r="AJ16" s="148"/>
      <c r="AK16" s="148"/>
      <c r="AL16" s="148"/>
      <c r="AM16" s="172"/>
      <c r="AN16" s="172"/>
    </row>
    <row r="17" spans="1:40" x14ac:dyDescent="0.3">
      <c r="A17" s="140">
        <f t="shared" si="10"/>
        <v>16</v>
      </c>
      <c r="B17" s="141" t="str">
        <f t="shared" si="19"/>
        <v>July</v>
      </c>
      <c r="C17" s="141">
        <f t="shared" si="19"/>
        <v>7</v>
      </c>
      <c r="D17" s="142">
        <v>43647</v>
      </c>
      <c r="E17" s="143">
        <f t="shared" si="22"/>
        <v>2019</v>
      </c>
      <c r="F17" s="143" t="s">
        <v>1176</v>
      </c>
      <c r="G17" s="144">
        <f t="shared" si="23"/>
        <v>31</v>
      </c>
      <c r="H17" s="149">
        <f t="shared" si="20"/>
        <v>134.4</v>
      </c>
      <c r="I17" s="149">
        <f t="shared" si="20"/>
        <v>125.4</v>
      </c>
      <c r="J17" s="146"/>
      <c r="K17" s="145"/>
      <c r="L17" s="144"/>
      <c r="M17" s="153">
        <f t="shared" si="21"/>
        <v>721.45184224972047</v>
      </c>
      <c r="N17" s="147">
        <v>8.0208999999999993</v>
      </c>
      <c r="O17" s="148">
        <f t="shared" si="13"/>
        <v>0.71727667514245075</v>
      </c>
      <c r="P17" s="146">
        <f t="shared" si="14"/>
        <v>4.0451612903225804</v>
      </c>
      <c r="Q17" s="144">
        <f>COUNTIFS('Daily KPI'!$D:$D,D17,'Daily KPI'!$O:$O,"&gt;0")</f>
        <v>0</v>
      </c>
      <c r="R17" s="147">
        <f t="shared" si="15"/>
        <v>0</v>
      </c>
      <c r="S17" s="147">
        <f>SUMIF($F$2:F97,F17,$R$2:R97)</f>
        <v>0</v>
      </c>
      <c r="T17" s="146">
        <f t="shared" si="16"/>
        <v>23.27264007257163</v>
      </c>
      <c r="U17" s="147">
        <f t="shared" si="17"/>
        <v>0</v>
      </c>
      <c r="V17" s="147">
        <f>SUMIF($F$2:F97,F17,$U$2:U97)</f>
        <v>0</v>
      </c>
      <c r="W17" s="148">
        <f t="shared" si="18"/>
        <v>0.12089582669739696</v>
      </c>
      <c r="X17" s="148" t="str">
        <f t="shared" si="8"/>
        <v/>
      </c>
      <c r="Y17" s="148" t="str">
        <f t="shared" si="9"/>
        <v/>
      </c>
      <c r="Z17" s="146" t="str">
        <f>IFERROR(AVERAGEIF('Daily KPI'!$D:$D,Table14[[#This Row],[Month]],'Daily KPI'!$AB:$AB),"")</f>
        <v/>
      </c>
      <c r="AA17" s="149">
        <f>IFERROR(AVERAGEIF($F$2:F97,F17,$N$2:N97),"")</f>
        <v>8.0208999999999993</v>
      </c>
      <c r="AB17" s="147"/>
      <c r="AC17" s="146"/>
      <c r="AD17" s="146"/>
      <c r="AE17" s="148">
        <v>0.98040000000000005</v>
      </c>
      <c r="AF17" s="148">
        <v>0.98</v>
      </c>
      <c r="AG17" s="148"/>
      <c r="AH17" s="148"/>
      <c r="AI17" s="148"/>
      <c r="AJ17" s="148"/>
      <c r="AK17" s="148"/>
      <c r="AL17" s="148"/>
      <c r="AM17" s="172"/>
      <c r="AN17" s="172"/>
    </row>
    <row r="18" spans="1:40" x14ac:dyDescent="0.3">
      <c r="A18" s="140">
        <f t="shared" si="10"/>
        <v>17</v>
      </c>
      <c r="B18" s="141" t="str">
        <f t="shared" si="19"/>
        <v>August</v>
      </c>
      <c r="C18" s="141">
        <f t="shared" si="19"/>
        <v>8</v>
      </c>
      <c r="D18" s="142">
        <v>43678</v>
      </c>
      <c r="E18" s="143">
        <v>2025</v>
      </c>
      <c r="F18" s="143" t="s">
        <v>1176</v>
      </c>
      <c r="G18" s="144">
        <f t="shared" si="23"/>
        <v>31</v>
      </c>
      <c r="H18" s="149">
        <f t="shared" si="20"/>
        <v>134.6</v>
      </c>
      <c r="I18" s="149">
        <f t="shared" si="20"/>
        <v>130.69999999999999</v>
      </c>
      <c r="J18" s="146"/>
      <c r="K18" s="145"/>
      <c r="L18" s="144"/>
      <c r="M18" s="153">
        <f t="shared" si="21"/>
        <v>763.89018591146873</v>
      </c>
      <c r="N18" s="147">
        <v>8.0208999999999993</v>
      </c>
      <c r="O18" s="148">
        <f t="shared" si="13"/>
        <v>0.72867226748797886</v>
      </c>
      <c r="P18" s="146">
        <f t="shared" si="14"/>
        <v>4.2161290322580642</v>
      </c>
      <c r="Q18" s="144">
        <f>COUNTIFS('Daily KPI'!$D:$D,D18,'Daily KPI'!$O:$O,"&gt;0")</f>
        <v>0</v>
      </c>
      <c r="R18" s="147">
        <f t="shared" si="15"/>
        <v>0</v>
      </c>
      <c r="S18" s="147">
        <f>SUMIF($F$6:F18,F18,$R$6:R18)</f>
        <v>0</v>
      </c>
      <c r="T18" s="146">
        <f t="shared" si="16"/>
        <v>24.641618900369959</v>
      </c>
      <c r="U18" s="147">
        <f t="shared" si="17"/>
        <v>0</v>
      </c>
      <c r="V18" s="147">
        <f>SUMIF($F$6:F18,F18,$U$6:U18)</f>
        <v>0</v>
      </c>
      <c r="W18" s="148">
        <f t="shared" si="18"/>
        <v>0.12800734591489088</v>
      </c>
      <c r="X18" s="148" t="str">
        <f t="shared" si="8"/>
        <v/>
      </c>
      <c r="Y18" s="148" t="str">
        <f t="shared" si="9"/>
        <v/>
      </c>
      <c r="Z18" s="146" t="str">
        <f>IFERROR(AVERAGEIF('Daily KPI'!$D:$D,Table14[[#This Row],[Month]],'Daily KPI'!$AB:$AB),"")</f>
        <v/>
      </c>
      <c r="AA18" s="149">
        <f>IFERROR(AVERAGEIF($F$6:F18,F18,$N$6:N18),"")</f>
        <v>8.0208999999999993</v>
      </c>
      <c r="AB18" s="147"/>
      <c r="AC18" s="146"/>
      <c r="AD18" s="146"/>
      <c r="AE18" s="148">
        <v>0.98040000000000005</v>
      </c>
      <c r="AF18" s="148">
        <v>0.98</v>
      </c>
      <c r="AG18" s="148"/>
      <c r="AH18" s="148"/>
      <c r="AI18" s="148"/>
      <c r="AJ18" s="148"/>
      <c r="AK18" s="148"/>
      <c r="AL18" s="148"/>
      <c r="AM18" s="172"/>
      <c r="AN18" s="172"/>
    </row>
    <row r="19" spans="1:40" x14ac:dyDescent="0.3">
      <c r="A19" s="140">
        <f t="shared" si="10"/>
        <v>18</v>
      </c>
      <c r="B19" s="141" t="str">
        <f t="shared" si="19"/>
        <v>September</v>
      </c>
      <c r="C19" s="141">
        <f t="shared" si="19"/>
        <v>9</v>
      </c>
      <c r="D19" s="142">
        <v>43709</v>
      </c>
      <c r="E19" s="143">
        <v>2025</v>
      </c>
      <c r="F19" s="143" t="s">
        <v>1176</v>
      </c>
      <c r="G19" s="144">
        <f t="shared" si="23"/>
        <v>30</v>
      </c>
      <c r="H19" s="149">
        <f t="shared" si="20"/>
        <v>142.5</v>
      </c>
      <c r="I19" s="149">
        <f t="shared" si="20"/>
        <v>145.4</v>
      </c>
      <c r="J19" s="146"/>
      <c r="K19" s="145"/>
      <c r="L19" s="144"/>
      <c r="M19" s="153">
        <f t="shared" si="21"/>
        <v>827.54770140409107</v>
      </c>
      <c r="N19" s="147">
        <v>8.0208999999999993</v>
      </c>
      <c r="O19" s="148">
        <f t="shared" si="13"/>
        <v>0.70958680060111445</v>
      </c>
      <c r="P19" s="146">
        <f t="shared" si="14"/>
        <v>4.8466666666666667</v>
      </c>
      <c r="Q19" s="144">
        <f>COUNTIFS('Daily KPI'!$D:$D,D19,'Daily KPI'!$O:$O,"&gt;0")</f>
        <v>0</v>
      </c>
      <c r="R19" s="147">
        <f t="shared" si="15"/>
        <v>0</v>
      </c>
      <c r="S19" s="147">
        <f>SUMIF($F$6:F19,F19,$R$6:R19)</f>
        <v>0</v>
      </c>
      <c r="T19" s="146">
        <f t="shared" si="16"/>
        <v>27.58492338013637</v>
      </c>
      <c r="U19" s="147">
        <f t="shared" si="17"/>
        <v>0</v>
      </c>
      <c r="V19" s="147">
        <f>SUMIF($F$6:F19,F19,$U$6:U19)</f>
        <v>0</v>
      </c>
      <c r="W19" s="148">
        <f t="shared" si="18"/>
        <v>0.14329711223250285</v>
      </c>
      <c r="X19" s="148" t="str">
        <f t="shared" si="8"/>
        <v/>
      </c>
      <c r="Y19" s="148" t="str">
        <f t="shared" si="9"/>
        <v/>
      </c>
      <c r="Z19" s="146" t="str">
        <f>IFERROR(AVERAGEIF('Daily KPI'!$D:$D,Table14[[#This Row],[Month]],'Daily KPI'!$AB:$AB),"")</f>
        <v/>
      </c>
      <c r="AA19" s="149">
        <f>IFERROR(AVERAGEIF($F$6:F19,F19,$N$6:N19),"")</f>
        <v>8.0208999999999993</v>
      </c>
      <c r="AB19" s="147"/>
      <c r="AC19" s="146"/>
      <c r="AD19" s="146"/>
      <c r="AE19" s="148">
        <v>0.98040000000000005</v>
      </c>
      <c r="AF19" s="148">
        <v>0.98</v>
      </c>
      <c r="AG19" s="148"/>
      <c r="AH19" s="148"/>
      <c r="AI19" s="148"/>
      <c r="AJ19" s="148"/>
      <c r="AK19" s="148"/>
      <c r="AL19" s="148"/>
      <c r="AM19" s="172"/>
      <c r="AN19" s="172"/>
    </row>
    <row r="20" spans="1:40" x14ac:dyDescent="0.3">
      <c r="A20" s="140">
        <f t="shared" si="10"/>
        <v>19</v>
      </c>
      <c r="B20" s="141" t="str">
        <f t="shared" si="19"/>
        <v>October</v>
      </c>
      <c r="C20" s="141">
        <f t="shared" si="19"/>
        <v>10</v>
      </c>
      <c r="D20" s="142">
        <v>43739</v>
      </c>
      <c r="E20" s="143">
        <v>2025</v>
      </c>
      <c r="F20" s="143" t="s">
        <v>1176</v>
      </c>
      <c r="G20" s="144">
        <f t="shared" si="23"/>
        <v>31</v>
      </c>
      <c r="H20" s="149">
        <f t="shared" si="20"/>
        <v>145.69999999999999</v>
      </c>
      <c r="I20" s="149">
        <f t="shared" si="20"/>
        <v>158.80000000000001</v>
      </c>
      <c r="J20" s="146"/>
      <c r="K20" s="145"/>
      <c r="L20" s="144"/>
      <c r="M20" s="153">
        <f t="shared" si="21"/>
        <v>938.9483535161803</v>
      </c>
      <c r="N20" s="147">
        <v>8.0208999999999993</v>
      </c>
      <c r="O20" s="148">
        <f t="shared" si="13"/>
        <v>0.73717076724916697</v>
      </c>
      <c r="P20" s="146">
        <f t="shared" si="14"/>
        <v>5.1225806451612907</v>
      </c>
      <c r="Q20" s="144">
        <f>COUNTIFS('Daily KPI'!$D:$D,D20,'Daily KPI'!$O:$O,"&gt;0")</f>
        <v>0</v>
      </c>
      <c r="R20" s="147">
        <f t="shared" si="15"/>
        <v>0</v>
      </c>
      <c r="S20" s="147">
        <f>SUMIF($F$6:F20,F20,$R$6:R20)</f>
        <v>0</v>
      </c>
      <c r="T20" s="146">
        <f t="shared" si="16"/>
        <v>30.288656565038075</v>
      </c>
      <c r="U20" s="147">
        <f t="shared" si="17"/>
        <v>0</v>
      </c>
      <c r="V20" s="147">
        <f>SUMIF($F$6:F20,F20,$U$6:U20)</f>
        <v>0</v>
      </c>
      <c r="W20" s="148">
        <f t="shared" si="18"/>
        <v>0.15734236268705337</v>
      </c>
      <c r="X20" s="148" t="str">
        <f t="shared" si="8"/>
        <v/>
      </c>
      <c r="Y20" s="148" t="str">
        <f t="shared" si="9"/>
        <v/>
      </c>
      <c r="Z20" s="146" t="str">
        <f>IFERROR(AVERAGEIF('Daily KPI'!$D:$D,Table14[[#This Row],[Month]],'Daily KPI'!$AB:$AB),"")</f>
        <v/>
      </c>
      <c r="AA20" s="149">
        <f>IFERROR(AVERAGEIF($F$6:F20,F20,$N$6:N20),"")</f>
        <v>8.0208999999999993</v>
      </c>
      <c r="AB20" s="147"/>
      <c r="AC20" s="146"/>
      <c r="AD20" s="146"/>
      <c r="AE20" s="148">
        <v>0.98040000000000005</v>
      </c>
      <c r="AF20" s="148">
        <v>0.98</v>
      </c>
      <c r="AG20" s="148"/>
      <c r="AH20" s="148"/>
      <c r="AI20" s="148"/>
      <c r="AJ20" s="148"/>
      <c r="AK20" s="148"/>
      <c r="AL20" s="148"/>
      <c r="AM20" s="172"/>
      <c r="AN20" s="172"/>
    </row>
    <row r="21" spans="1:40" x14ac:dyDescent="0.3">
      <c r="A21" s="140">
        <f t="shared" si="10"/>
        <v>20</v>
      </c>
      <c r="B21" s="141" t="str">
        <f t="shared" si="19"/>
        <v>November</v>
      </c>
      <c r="C21" s="141">
        <f t="shared" si="19"/>
        <v>11</v>
      </c>
      <c r="D21" s="142">
        <v>43770</v>
      </c>
      <c r="E21" s="143">
        <v>2025</v>
      </c>
      <c r="F21" s="143" t="s">
        <v>1176</v>
      </c>
      <c r="G21" s="144">
        <f t="shared" si="23"/>
        <v>30</v>
      </c>
      <c r="H21" s="149">
        <f t="shared" si="20"/>
        <v>138.9</v>
      </c>
      <c r="I21" s="149">
        <f t="shared" si="20"/>
        <v>163</v>
      </c>
      <c r="J21" s="146"/>
      <c r="K21" s="145"/>
      <c r="L21" s="144"/>
      <c r="M21" s="153">
        <f t="shared" si="21"/>
        <v>944.25314647389882</v>
      </c>
      <c r="N21" s="147">
        <v>8.0208999999999993</v>
      </c>
      <c r="O21" s="148">
        <f t="shared" si="13"/>
        <v>0.7222336756220531</v>
      </c>
      <c r="P21" s="146">
        <f t="shared" si="14"/>
        <v>5.4333333333333336</v>
      </c>
      <c r="Q21" s="144">
        <f>COUNTIFS('Daily KPI'!$D:$D,D21,'Daily KPI'!$O:$O,"&gt;0")</f>
        <v>0</v>
      </c>
      <c r="R21" s="147">
        <f t="shared" si="15"/>
        <v>0</v>
      </c>
      <c r="S21" s="147">
        <f>SUMIF($F$6:F21,F21,$R$6:R21)</f>
        <v>0</v>
      </c>
      <c r="T21" s="146">
        <f t="shared" si="16"/>
        <v>31.475104882463295</v>
      </c>
      <c r="U21" s="147">
        <f t="shared" si="17"/>
        <v>0</v>
      </c>
      <c r="V21" s="147">
        <f>SUMIF($F$6:F21,F21,$U$6:U21)</f>
        <v>0</v>
      </c>
      <c r="W21" s="148">
        <f t="shared" si="18"/>
        <v>0.1635056793422148</v>
      </c>
      <c r="X21" s="148" t="str">
        <f t="shared" si="8"/>
        <v/>
      </c>
      <c r="Y21" s="148" t="str">
        <f t="shared" si="9"/>
        <v/>
      </c>
      <c r="Z21" s="146" t="str">
        <f>IFERROR(AVERAGEIF('Daily KPI'!$D:$D,Table14[[#This Row],[Month]],'Daily KPI'!$AB:$AB),"")</f>
        <v/>
      </c>
      <c r="AA21" s="149">
        <f>IFERROR(AVERAGEIF($F$6:F21,F21,$N$6:N21),"")</f>
        <v>8.0208999999999993</v>
      </c>
      <c r="AB21" s="147"/>
      <c r="AC21" s="146"/>
      <c r="AD21" s="146"/>
      <c r="AE21" s="148">
        <v>0.98040000000000005</v>
      </c>
      <c r="AF21" s="148">
        <v>0.98</v>
      </c>
      <c r="AG21" s="148"/>
      <c r="AH21" s="148"/>
      <c r="AI21" s="148"/>
      <c r="AJ21" s="148"/>
      <c r="AK21" s="148"/>
      <c r="AL21" s="148"/>
      <c r="AM21" s="172"/>
      <c r="AN21" s="172"/>
    </row>
    <row r="22" spans="1:40" x14ac:dyDescent="0.3">
      <c r="A22" s="140">
        <f t="shared" si="10"/>
        <v>21</v>
      </c>
      <c r="B22" s="141" t="str">
        <f t="shared" si="19"/>
        <v>December</v>
      </c>
      <c r="C22" s="141">
        <f t="shared" si="19"/>
        <v>12</v>
      </c>
      <c r="D22" s="142">
        <v>43800</v>
      </c>
      <c r="E22" s="143">
        <v>2025</v>
      </c>
      <c r="F22" s="143" t="s">
        <v>1176</v>
      </c>
      <c r="G22" s="144">
        <f t="shared" si="23"/>
        <v>31</v>
      </c>
      <c r="H22" s="149">
        <f t="shared" si="20"/>
        <v>134.69999999999999</v>
      </c>
      <c r="I22" s="149">
        <f t="shared" si="20"/>
        <v>163.69999999999999</v>
      </c>
      <c r="J22" s="146"/>
      <c r="K22" s="145"/>
      <c r="L22" s="144"/>
      <c r="M22" s="153">
        <f t="shared" si="21"/>
        <v>981.38669717792857</v>
      </c>
      <c r="N22" s="147">
        <v>8.0208999999999993</v>
      </c>
      <c r="O22" s="148">
        <f t="shared" si="13"/>
        <v>0.74742631726929265</v>
      </c>
      <c r="P22" s="146">
        <f t="shared" si="14"/>
        <v>5.2806451612903222</v>
      </c>
      <c r="Q22" s="144">
        <f>COUNTIFS('Daily KPI'!$D:$D,D22,'Daily KPI'!$O:$O,"&gt;0")</f>
        <v>0</v>
      </c>
      <c r="R22" s="147">
        <f t="shared" si="15"/>
        <v>0</v>
      </c>
      <c r="S22" s="147">
        <f>SUMIF($F$6:F22,F22,$R$6:R22)</f>
        <v>0</v>
      </c>
      <c r="T22" s="146">
        <f t="shared" si="16"/>
        <v>31.657635392836404</v>
      </c>
      <c r="U22" s="147">
        <f t="shared" si="17"/>
        <v>0</v>
      </c>
      <c r="V22" s="147">
        <f>SUMIF($F$6:F22,F22,$U$6:U22)</f>
        <v>0</v>
      </c>
      <c r="W22" s="148">
        <f t="shared" si="18"/>
        <v>0.16445388190454732</v>
      </c>
      <c r="X22" s="148" t="str">
        <f t="shared" si="8"/>
        <v/>
      </c>
      <c r="Y22" s="148" t="str">
        <f t="shared" si="9"/>
        <v/>
      </c>
      <c r="Z22" s="146" t="str">
        <f>IFERROR(AVERAGEIF('Daily KPI'!$D:$D,Table14[[#This Row],[Month]],'Daily KPI'!$AB:$AB),"")</f>
        <v/>
      </c>
      <c r="AA22" s="149">
        <f>IFERROR(AVERAGEIF($F$6:F22,F22,$N$6:N22),"")</f>
        <v>8.0208999999999993</v>
      </c>
      <c r="AB22" s="147"/>
      <c r="AC22" s="146"/>
      <c r="AD22" s="146"/>
      <c r="AE22" s="148">
        <v>0.98040000000000005</v>
      </c>
      <c r="AF22" s="148">
        <v>0.98</v>
      </c>
      <c r="AG22" s="148"/>
      <c r="AH22" s="148"/>
      <c r="AI22" s="148"/>
      <c r="AJ22" s="148"/>
      <c r="AK22" s="148"/>
      <c r="AL22" s="148"/>
      <c r="AM22" s="172"/>
      <c r="AN22" s="172"/>
    </row>
    <row r="23" spans="1:40" x14ac:dyDescent="0.3">
      <c r="A23" s="140">
        <f t="shared" si="10"/>
        <v>22</v>
      </c>
      <c r="B23" s="141" t="str">
        <f t="shared" si="19"/>
        <v>January</v>
      </c>
      <c r="C23" s="141">
        <f t="shared" si="19"/>
        <v>1</v>
      </c>
      <c r="D23" s="142">
        <v>43831</v>
      </c>
      <c r="E23" s="143">
        <v>2025</v>
      </c>
      <c r="F23" s="143" t="s">
        <v>1176</v>
      </c>
      <c r="G23" s="144">
        <f t="shared" si="23"/>
        <v>31</v>
      </c>
      <c r="H23" s="149">
        <f t="shared" si="20"/>
        <v>151.6</v>
      </c>
      <c r="I23" s="149">
        <f t="shared" si="20"/>
        <v>183.9</v>
      </c>
      <c r="J23" s="146"/>
      <c r="K23" s="145"/>
      <c r="L23" s="144"/>
      <c r="M23" s="153">
        <f t="shared" si="21"/>
        <v>1087.4825563322993</v>
      </c>
      <c r="N23" s="147">
        <v>8.0208999999999993</v>
      </c>
      <c r="O23" s="148">
        <f t="shared" si="13"/>
        <v>0.73725456161784642</v>
      </c>
      <c r="P23" s="146">
        <f t="shared" si="14"/>
        <v>5.9322580645161294</v>
      </c>
      <c r="Q23" s="144">
        <f>COUNTIFS('Daily KPI'!$D:$D,D23,'Daily KPI'!$O:$O,"&gt;0")</f>
        <v>0</v>
      </c>
      <c r="R23" s="147">
        <f t="shared" si="15"/>
        <v>0</v>
      </c>
      <c r="S23" s="147">
        <f>SUMIF($F$6:F23,F23,$R$6:R23)</f>
        <v>0</v>
      </c>
      <c r="T23" s="146">
        <f t="shared" si="16"/>
        <v>35.080082462332236</v>
      </c>
      <c r="U23" s="147">
        <f t="shared" si="17"/>
        <v>0</v>
      </c>
      <c r="V23" s="147">
        <f>SUMIF($F$6:F23,F23,$U$6:U23)</f>
        <v>0</v>
      </c>
      <c r="W23" s="148">
        <f t="shared" si="18"/>
        <v>0.18223267994828218</v>
      </c>
      <c r="X23" s="148" t="str">
        <f t="shared" si="8"/>
        <v/>
      </c>
      <c r="Y23" s="148" t="str">
        <f t="shared" si="9"/>
        <v/>
      </c>
      <c r="Z23" s="146" t="str">
        <f>IFERROR(AVERAGEIF('Daily KPI'!$D:$D,Table14[[#This Row],[Month]],'Daily KPI'!$AB:$AB),"")</f>
        <v/>
      </c>
      <c r="AA23" s="149">
        <f>IFERROR(AVERAGEIF($F$6:F23,F23,$N$6:N23),"")</f>
        <v>8.0208999999999993</v>
      </c>
      <c r="AB23" s="147"/>
      <c r="AC23" s="146"/>
      <c r="AD23" s="146"/>
      <c r="AE23" s="148">
        <v>0.98040000000000005</v>
      </c>
      <c r="AF23" s="148">
        <v>0.98</v>
      </c>
      <c r="AG23" s="148"/>
      <c r="AH23" s="148"/>
      <c r="AI23" s="148"/>
      <c r="AJ23" s="148"/>
      <c r="AK23" s="148"/>
      <c r="AL23" s="148"/>
      <c r="AM23" s="172"/>
      <c r="AN23" s="172"/>
    </row>
    <row r="24" spans="1:40" x14ac:dyDescent="0.3">
      <c r="A24" s="140">
        <f t="shared" si="10"/>
        <v>23</v>
      </c>
      <c r="B24" s="141" t="str">
        <f t="shared" si="19"/>
        <v>February</v>
      </c>
      <c r="C24" s="141">
        <f t="shared" si="19"/>
        <v>2</v>
      </c>
      <c r="D24" s="142">
        <v>43862</v>
      </c>
      <c r="E24" s="143">
        <v>2025</v>
      </c>
      <c r="F24" s="143" t="s">
        <v>1176</v>
      </c>
      <c r="G24" s="144">
        <f t="shared" si="23"/>
        <v>29</v>
      </c>
      <c r="H24" s="149">
        <f t="shared" si="20"/>
        <v>159.9</v>
      </c>
      <c r="I24" s="149">
        <f t="shared" si="20"/>
        <v>184</v>
      </c>
      <c r="J24" s="146"/>
      <c r="K24" s="145"/>
      <c r="L24" s="144"/>
      <c r="M24" s="153">
        <f t="shared" si="21"/>
        <v>1038.6058690088</v>
      </c>
      <c r="N24" s="147">
        <v>8.0208999999999993</v>
      </c>
      <c r="O24" s="148">
        <f t="shared" si="13"/>
        <v>0.70373612863622048</v>
      </c>
      <c r="P24" s="146">
        <f t="shared" si="14"/>
        <v>6.3448275862068968</v>
      </c>
      <c r="Q24" s="144">
        <f>COUNTIFS('Daily KPI'!$D:$D,D24,'Daily KPI'!$O:$O,"&gt;0")</f>
        <v>0</v>
      </c>
      <c r="R24" s="147">
        <f t="shared" si="15"/>
        <v>0</v>
      </c>
      <c r="S24" s="147">
        <f>SUMIF($F$6:F24,F24,$R$6:R24)</f>
        <v>0</v>
      </c>
      <c r="T24" s="146">
        <f t="shared" si="16"/>
        <v>35.813995483062072</v>
      </c>
      <c r="U24" s="147">
        <f t="shared" si="17"/>
        <v>0</v>
      </c>
      <c r="V24" s="147">
        <f>SUMIF($F$6:F24,F24,$U$6:U24)</f>
        <v>0</v>
      </c>
      <c r="W24" s="148">
        <f t="shared" si="18"/>
        <v>0.18604518343256407</v>
      </c>
      <c r="X24" s="148" t="str">
        <f t="shared" si="8"/>
        <v/>
      </c>
      <c r="Y24" s="148" t="str">
        <f t="shared" si="9"/>
        <v/>
      </c>
      <c r="Z24" s="146" t="str">
        <f>IFERROR(AVERAGEIF('Daily KPI'!$D:$D,Table14[[#This Row],[Month]],'Daily KPI'!$AB:$AB),"")</f>
        <v/>
      </c>
      <c r="AA24" s="149">
        <f>IFERROR(AVERAGEIF($F$6:F24,F24,$N$6:N24),"")</f>
        <v>8.0208999999999993</v>
      </c>
      <c r="AB24" s="147"/>
      <c r="AC24" s="146"/>
      <c r="AD24" s="146"/>
      <c r="AE24" s="148">
        <v>0.98040000000000005</v>
      </c>
      <c r="AF24" s="148">
        <v>0.98</v>
      </c>
      <c r="AG24" s="148"/>
      <c r="AH24" s="148"/>
      <c r="AI24" s="148"/>
      <c r="AJ24" s="148"/>
      <c r="AK24" s="148"/>
      <c r="AL24" s="148"/>
      <c r="AM24" s="172"/>
      <c r="AN24" s="172"/>
    </row>
    <row r="25" spans="1:40" x14ac:dyDescent="0.3">
      <c r="A25" s="140">
        <f t="shared" si="10"/>
        <v>24</v>
      </c>
      <c r="B25" s="141" t="str">
        <f t="shared" si="19"/>
        <v>March</v>
      </c>
      <c r="C25" s="141">
        <f t="shared" si="19"/>
        <v>3</v>
      </c>
      <c r="D25" s="142">
        <v>43891</v>
      </c>
      <c r="E25" s="143">
        <v>2025</v>
      </c>
      <c r="F25" s="143" t="s">
        <v>1176</v>
      </c>
      <c r="G25" s="144">
        <f t="shared" si="23"/>
        <v>31</v>
      </c>
      <c r="H25" s="149">
        <f t="shared" si="20"/>
        <v>197.2</v>
      </c>
      <c r="I25" s="149">
        <f t="shared" si="20"/>
        <v>210.4</v>
      </c>
      <c r="J25" s="146"/>
      <c r="K25" s="145"/>
      <c r="L25" s="144"/>
      <c r="M25" s="153">
        <f t="shared" si="21"/>
        <v>1204.1880014021069</v>
      </c>
      <c r="N25" s="147">
        <v>8.0208999999999993</v>
      </c>
      <c r="O25" s="148">
        <f t="shared" si="13"/>
        <v>0.71355172148533519</v>
      </c>
      <c r="P25" s="146">
        <f t="shared" si="14"/>
        <v>6.7870967741935484</v>
      </c>
      <c r="Q25" s="144">
        <f>COUNTIFS('Daily KPI'!$D:$D,D25,'Daily KPI'!$O:$O,"&gt;0")</f>
        <v>0</v>
      </c>
      <c r="R25" s="147">
        <f t="shared" si="15"/>
        <v>0</v>
      </c>
      <c r="S25" s="147">
        <f>SUMIF($F$6:F25,F25,$R$6:R25)</f>
        <v>0</v>
      </c>
      <c r="T25" s="146">
        <f t="shared" si="16"/>
        <v>38.844774238777646</v>
      </c>
      <c r="U25" s="147">
        <f t="shared" si="17"/>
        <v>0</v>
      </c>
      <c r="V25" s="147">
        <f>SUMIF($F$6:F25,F25,$U$6:U25)</f>
        <v>0</v>
      </c>
      <c r="W25" s="148">
        <f t="shared" si="18"/>
        <v>0.20178935779639051</v>
      </c>
      <c r="X25" s="148" t="str">
        <f t="shared" si="8"/>
        <v/>
      </c>
      <c r="Y25" s="148" t="str">
        <f t="shared" si="9"/>
        <v/>
      </c>
      <c r="Z25" s="146" t="str">
        <f>IFERROR(AVERAGEIF('Daily KPI'!$D:$D,Table14[[#This Row],[Month]],'Daily KPI'!$AB:$AB),"")</f>
        <v/>
      </c>
      <c r="AA25" s="149">
        <f>IFERROR(AVERAGEIF($F$6:F25,F25,$N$6:N25),"")</f>
        <v>8.0208999999999993</v>
      </c>
      <c r="AB25" s="147"/>
      <c r="AC25" s="146"/>
      <c r="AD25" s="146"/>
      <c r="AE25" s="148">
        <v>0.98040000000000005</v>
      </c>
      <c r="AF25" s="148">
        <v>0.98</v>
      </c>
      <c r="AG25" s="148"/>
      <c r="AH25" s="148"/>
      <c r="AI25" s="148"/>
      <c r="AJ25" s="148"/>
      <c r="AK25" s="148"/>
      <c r="AL25" s="148"/>
      <c r="AM25" s="172"/>
      <c r="AN25" s="172"/>
    </row>
    <row r="26" spans="1:40" x14ac:dyDescent="0.3">
      <c r="A26" s="140">
        <f t="shared" si="10"/>
        <v>25</v>
      </c>
      <c r="B26" s="141" t="str">
        <f t="shared" si="19"/>
        <v>April</v>
      </c>
      <c r="C26" s="141">
        <f t="shared" si="19"/>
        <v>4</v>
      </c>
      <c r="D26" s="142">
        <v>43922</v>
      </c>
      <c r="E26" s="143">
        <v>2025</v>
      </c>
      <c r="F26" s="143" t="s">
        <v>1177</v>
      </c>
      <c r="G26" s="144">
        <f t="shared" si="23"/>
        <v>30</v>
      </c>
      <c r="H26" s="149">
        <f t="shared" si="20"/>
        <v>193.6</v>
      </c>
      <c r="I26" s="149">
        <f t="shared" si="20"/>
        <v>191.7</v>
      </c>
      <c r="J26" s="146"/>
      <c r="K26" s="145"/>
      <c r="L26" s="144"/>
      <c r="M26" s="153">
        <f t="shared" si="21"/>
        <v>1055.6537985859879</v>
      </c>
      <c r="N26" s="147">
        <v>8.0208999999999993</v>
      </c>
      <c r="O26" s="148">
        <f t="shared" si="13"/>
        <v>0.68655652664663702</v>
      </c>
      <c r="P26" s="146">
        <f t="shared" si="14"/>
        <v>6.39</v>
      </c>
      <c r="Q26" s="144">
        <f>COUNTIFS('Daily KPI'!$D:$D,D26,'Daily KPI'!$O:$O,"&gt;0")</f>
        <v>0</v>
      </c>
      <c r="R26" s="147">
        <f t="shared" si="15"/>
        <v>0</v>
      </c>
      <c r="S26" s="147">
        <f>SUMIF($F$6:F26,F26,$R$6:R26)</f>
        <v>0</v>
      </c>
      <c r="T26" s="146">
        <f t="shared" si="16"/>
        <v>35.188459952866268</v>
      </c>
      <c r="U26" s="147">
        <f t="shared" si="17"/>
        <v>0</v>
      </c>
      <c r="V26" s="147">
        <f>SUMIF($F$6:F26,F26,$U$6:U26)</f>
        <v>0</v>
      </c>
      <c r="W26" s="148">
        <f t="shared" si="18"/>
        <v>0.18279567521966711</v>
      </c>
      <c r="X26" s="148" t="str">
        <f t="shared" si="8"/>
        <v/>
      </c>
      <c r="Y26" s="148" t="str">
        <f t="shared" si="9"/>
        <v/>
      </c>
      <c r="Z26" s="146" t="str">
        <f>IFERROR(AVERAGEIF('Daily KPI'!$D:$D,Table14[[#This Row],[Month]],'Daily KPI'!$AB:$AB),"")</f>
        <v/>
      </c>
      <c r="AA26" s="149">
        <f>IFERROR(AVERAGEIF($F$6:F26,F26,$N$6:N26),"")</f>
        <v>8.0208999999999993</v>
      </c>
      <c r="AB26" s="147"/>
      <c r="AC26" s="146"/>
      <c r="AD26" s="146"/>
      <c r="AE26" s="148">
        <v>0.98040000000000005</v>
      </c>
      <c r="AF26" s="148">
        <v>0.98</v>
      </c>
      <c r="AG26" s="148"/>
      <c r="AH26" s="148"/>
      <c r="AI26" s="148"/>
      <c r="AJ26" s="148"/>
      <c r="AK26" s="148"/>
      <c r="AL26" s="148"/>
      <c r="AM26" s="172"/>
      <c r="AN26" s="172"/>
    </row>
    <row r="27" spans="1:40" x14ac:dyDescent="0.3">
      <c r="A27" s="140">
        <f t="shared" si="10"/>
        <v>26</v>
      </c>
      <c r="B27" s="141" t="str">
        <f t="shared" si="19"/>
        <v>May</v>
      </c>
      <c r="C27" s="141">
        <f t="shared" si="19"/>
        <v>5</v>
      </c>
      <c r="D27" s="142">
        <v>43952</v>
      </c>
      <c r="E27" s="143">
        <v>2026</v>
      </c>
      <c r="F27" s="143" t="s">
        <v>1177</v>
      </c>
      <c r="G27" s="144">
        <f t="shared" si="23"/>
        <v>31</v>
      </c>
      <c r="H27" s="149">
        <f t="shared" si="20"/>
        <v>198.6</v>
      </c>
      <c r="I27" s="149">
        <f t="shared" si="20"/>
        <v>186.4</v>
      </c>
      <c r="J27" s="146"/>
      <c r="K27" s="145"/>
      <c r="L27" s="144"/>
      <c r="M27" s="153">
        <f t="shared" si="21"/>
        <v>1060.9585915437065</v>
      </c>
      <c r="N27" s="147">
        <v>8.0208999999999993</v>
      </c>
      <c r="O27" s="148">
        <f t="shared" si="13"/>
        <v>0.70962584466409462</v>
      </c>
      <c r="P27" s="146">
        <f t="shared" si="14"/>
        <v>6.0129032258064514</v>
      </c>
      <c r="Q27" s="144">
        <f>COUNTIFS('Daily KPI'!$D:$D,D27,'Daily KPI'!$O:$O,"&gt;0")</f>
        <v>0</v>
      </c>
      <c r="R27" s="147">
        <f t="shared" si="15"/>
        <v>0</v>
      </c>
      <c r="S27" s="147">
        <f>SUMIF($F$6:F27,F27,$R$6:R27)</f>
        <v>0</v>
      </c>
      <c r="T27" s="146">
        <f t="shared" si="16"/>
        <v>34.224470694958271</v>
      </c>
      <c r="U27" s="147">
        <f t="shared" si="17"/>
        <v>0</v>
      </c>
      <c r="V27" s="147">
        <f>SUMIF($F$6:F27,F27,$U$6:U27)</f>
        <v>0</v>
      </c>
      <c r="W27" s="148">
        <f t="shared" si="18"/>
        <v>0.17778798043734842</v>
      </c>
      <c r="X27" s="148" t="str">
        <f t="shared" si="8"/>
        <v/>
      </c>
      <c r="Y27" s="148" t="str">
        <f t="shared" si="9"/>
        <v/>
      </c>
      <c r="Z27" s="146" t="str">
        <f>IFERROR(AVERAGEIF('Daily KPI'!$D:$D,Table14[[#This Row],[Month]],'Daily KPI'!$AB:$AB),"")</f>
        <v/>
      </c>
      <c r="AA27" s="149">
        <f>IFERROR(AVERAGEIF($F$6:F27,F27,$N$6:N27),"")</f>
        <v>8.0208999999999993</v>
      </c>
      <c r="AB27" s="147"/>
      <c r="AC27" s="146"/>
      <c r="AD27" s="146"/>
      <c r="AE27" s="148">
        <v>0.98040000000000005</v>
      </c>
      <c r="AF27" s="148">
        <v>0.98</v>
      </c>
      <c r="AG27" s="148"/>
      <c r="AH27" s="148"/>
      <c r="AI27" s="148"/>
      <c r="AJ27" s="148"/>
      <c r="AK27" s="148"/>
      <c r="AL27" s="148"/>
      <c r="AM27" s="172"/>
      <c r="AN27" s="172"/>
    </row>
    <row r="28" spans="1:40" x14ac:dyDescent="0.3">
      <c r="A28" s="140">
        <f t="shared" si="10"/>
        <v>27</v>
      </c>
      <c r="B28" s="141" t="str">
        <f t="shared" si="19"/>
        <v>June</v>
      </c>
      <c r="C28" s="141">
        <f t="shared" si="19"/>
        <v>6</v>
      </c>
      <c r="D28" s="142">
        <v>43983</v>
      </c>
      <c r="E28" s="143">
        <v>2026</v>
      </c>
      <c r="F28" s="143" t="s">
        <v>1177</v>
      </c>
      <c r="G28" s="144">
        <f t="shared" si="23"/>
        <v>30</v>
      </c>
      <c r="H28" s="149">
        <f t="shared" si="20"/>
        <v>154.80000000000001</v>
      </c>
      <c r="I28" s="149">
        <f t="shared" si="20"/>
        <v>142.80000000000001</v>
      </c>
      <c r="J28" s="146"/>
      <c r="K28" s="145"/>
      <c r="L28" s="144"/>
      <c r="M28" s="153">
        <f t="shared" si="21"/>
        <v>790.41415070006133</v>
      </c>
      <c r="N28" s="147">
        <v>8.0208999999999993</v>
      </c>
      <c r="O28" s="148">
        <f t="shared" si="13"/>
        <v>0.6900862870925315</v>
      </c>
      <c r="P28" s="146">
        <f t="shared" si="14"/>
        <v>4.7600000000000007</v>
      </c>
      <c r="Q28" s="144">
        <f>COUNTIFS('Daily KPI'!$D:$D,D28,'Daily KPI'!$O:$O,"&gt;0")</f>
        <v>0</v>
      </c>
      <c r="R28" s="147">
        <f t="shared" si="15"/>
        <v>0</v>
      </c>
      <c r="S28" s="147">
        <f>SUMIF($F$6:F28,F28,$R$6:R28)</f>
        <v>0</v>
      </c>
      <c r="T28" s="146">
        <f t="shared" si="16"/>
        <v>26.347138356668712</v>
      </c>
      <c r="U28" s="147">
        <f t="shared" si="17"/>
        <v>0</v>
      </c>
      <c r="V28" s="147">
        <f>SUMIF($F$6:F28,F28,$U$6:U28)</f>
        <v>0</v>
      </c>
      <c r="W28" s="148">
        <f t="shared" si="18"/>
        <v>0.13686711360668541</v>
      </c>
      <c r="X28" s="148" t="str">
        <f t="shared" si="8"/>
        <v/>
      </c>
      <c r="Y28" s="148" t="str">
        <f t="shared" si="9"/>
        <v/>
      </c>
      <c r="Z28" s="146" t="str">
        <f>IFERROR(AVERAGEIF('Daily KPI'!$D:$D,Table14[[#This Row],[Month]],'Daily KPI'!$AB:$AB),"")</f>
        <v/>
      </c>
      <c r="AA28" s="149">
        <f>IFERROR(AVERAGEIF($F$6:F28,F28,$N$6:N28),"")</f>
        <v>8.0208999999999993</v>
      </c>
      <c r="AB28" s="147"/>
      <c r="AC28" s="146"/>
      <c r="AD28" s="146"/>
      <c r="AE28" s="148">
        <v>0.98040000000000005</v>
      </c>
      <c r="AF28" s="148">
        <v>0.98</v>
      </c>
      <c r="AG28" s="148"/>
      <c r="AH28" s="148"/>
      <c r="AI28" s="148"/>
      <c r="AJ28" s="148"/>
      <c r="AK28" s="148"/>
      <c r="AL28" s="148"/>
      <c r="AM28" s="172"/>
      <c r="AN28" s="172"/>
    </row>
    <row r="29" spans="1:40" x14ac:dyDescent="0.3">
      <c r="A29" s="140">
        <f t="shared" si="10"/>
        <v>28</v>
      </c>
      <c r="B29" s="141" t="str">
        <f t="shared" si="19"/>
        <v>July</v>
      </c>
      <c r="C29" s="141">
        <f t="shared" si="19"/>
        <v>7</v>
      </c>
      <c r="D29" s="142">
        <v>44013</v>
      </c>
      <c r="E29" s="143">
        <v>2026</v>
      </c>
      <c r="F29" s="143" t="s">
        <v>1177</v>
      </c>
      <c r="G29" s="144">
        <f t="shared" si="23"/>
        <v>31</v>
      </c>
      <c r="H29" s="149">
        <f t="shared" si="20"/>
        <v>134.4</v>
      </c>
      <c r="I29" s="149">
        <f t="shared" si="20"/>
        <v>125.4</v>
      </c>
      <c r="J29" s="146"/>
      <c r="K29" s="145"/>
      <c r="L29" s="144"/>
      <c r="M29" s="153">
        <f t="shared" si="21"/>
        <v>721.45184224972047</v>
      </c>
      <c r="N29" s="147">
        <v>8.0208999999999993</v>
      </c>
      <c r="O29" s="148">
        <f t="shared" si="13"/>
        <v>0.71727667514245075</v>
      </c>
      <c r="P29" s="146">
        <f t="shared" si="14"/>
        <v>4.0451612903225804</v>
      </c>
      <c r="Q29" s="144">
        <f>COUNTIFS('Daily KPI'!$D:$D,D29,'Daily KPI'!$O:$O,"&gt;0")</f>
        <v>0</v>
      </c>
      <c r="R29" s="147">
        <f t="shared" si="15"/>
        <v>0</v>
      </c>
      <c r="S29" s="147">
        <f>SUMIF($F$2:F97,F29,$R$2:R97)</f>
        <v>0</v>
      </c>
      <c r="T29" s="146">
        <f t="shared" si="16"/>
        <v>23.27264007257163</v>
      </c>
      <c r="U29" s="147">
        <f t="shared" si="17"/>
        <v>0</v>
      </c>
      <c r="V29" s="147">
        <f>SUMIF($F$2:F97,F29,$U$2:U97)</f>
        <v>0</v>
      </c>
      <c r="W29" s="148">
        <f t="shared" si="18"/>
        <v>0.12089582669739696</v>
      </c>
      <c r="X29" s="148" t="str">
        <f t="shared" si="8"/>
        <v/>
      </c>
      <c r="Y29" s="148" t="str">
        <f t="shared" si="9"/>
        <v/>
      </c>
      <c r="Z29" s="146" t="str">
        <f>IFERROR(AVERAGEIF('Daily KPI'!$D:$D,Table14[[#This Row],[Month]],'Daily KPI'!$AB:$AB),"")</f>
        <v/>
      </c>
      <c r="AA29" s="149">
        <f>IFERROR(AVERAGEIF($F$2:F97,F29,$N$2:N97),"")</f>
        <v>8.0208999999999993</v>
      </c>
      <c r="AB29" s="147"/>
      <c r="AC29" s="146"/>
      <c r="AD29" s="146"/>
      <c r="AE29" s="148">
        <v>0.98040000000000005</v>
      </c>
      <c r="AF29" s="148">
        <v>0.98</v>
      </c>
      <c r="AG29" s="148"/>
      <c r="AH29" s="148"/>
      <c r="AI29" s="148"/>
      <c r="AJ29" s="148"/>
      <c r="AK29" s="148"/>
      <c r="AL29" s="148"/>
      <c r="AM29" s="172"/>
      <c r="AN29" s="172"/>
    </row>
    <row r="30" spans="1:40" x14ac:dyDescent="0.3">
      <c r="A30" s="140">
        <f t="shared" si="10"/>
        <v>29</v>
      </c>
      <c r="B30" s="141" t="str">
        <f t="shared" si="19"/>
        <v>August</v>
      </c>
      <c r="C30" s="141">
        <f t="shared" si="19"/>
        <v>8</v>
      </c>
      <c r="D30" s="142">
        <v>44044</v>
      </c>
      <c r="E30" s="143">
        <f t="shared" ref="E30:E93" si="24">YEAR(D30)</f>
        <v>2020</v>
      </c>
      <c r="F30" s="143" t="s">
        <v>1177</v>
      </c>
      <c r="G30" s="144">
        <f t="shared" si="23"/>
        <v>31</v>
      </c>
      <c r="H30" s="149">
        <f t="shared" si="20"/>
        <v>134.6</v>
      </c>
      <c r="I30" s="149">
        <f t="shared" si="20"/>
        <v>130.69999999999999</v>
      </c>
      <c r="J30" s="146"/>
      <c r="K30" s="145"/>
      <c r="L30" s="144"/>
      <c r="M30" s="153">
        <f t="shared" si="21"/>
        <v>763.89018591146873</v>
      </c>
      <c r="N30" s="147">
        <v>8.0208999999999993</v>
      </c>
      <c r="O30" s="148">
        <f t="shared" si="13"/>
        <v>0.72867226748797886</v>
      </c>
      <c r="P30" s="146">
        <f t="shared" si="14"/>
        <v>4.2161290322580642</v>
      </c>
      <c r="Q30" s="144">
        <f>COUNTIFS('Daily KPI'!$D:$D,D30,'Daily KPI'!$O:$O,"&gt;0")</f>
        <v>0</v>
      </c>
      <c r="R30" s="147">
        <f t="shared" si="15"/>
        <v>0</v>
      </c>
      <c r="S30" s="147">
        <f>SUMIF($F$2:F30,F30,$R$2:R30)</f>
        <v>0</v>
      </c>
      <c r="T30" s="146">
        <f t="shared" si="16"/>
        <v>24.641618900369959</v>
      </c>
      <c r="U30" s="147">
        <f t="shared" si="17"/>
        <v>0</v>
      </c>
      <c r="V30" s="147">
        <f>SUMIF($F$2:F30,F30,$U$2:U30)</f>
        <v>0</v>
      </c>
      <c r="W30" s="148">
        <f t="shared" si="18"/>
        <v>0.12800734591489088</v>
      </c>
      <c r="X30" s="148" t="str">
        <f t="shared" si="8"/>
        <v/>
      </c>
      <c r="Y30" s="148" t="str">
        <f t="shared" si="9"/>
        <v/>
      </c>
      <c r="Z30" s="146" t="str">
        <f>IFERROR(AVERAGEIF('Daily KPI'!$D:$D,Table14[[#This Row],[Month]],'Daily KPI'!$AB:$AB),"")</f>
        <v/>
      </c>
      <c r="AA30" s="149">
        <f>IFERROR(AVERAGEIF($F$2:F30,F30,$N$2:N30),"")</f>
        <v>8.0208999999999993</v>
      </c>
      <c r="AB30" s="147"/>
      <c r="AC30" s="146"/>
      <c r="AD30" s="146"/>
      <c r="AE30" s="148">
        <v>0.98040000000000005</v>
      </c>
      <c r="AF30" s="148">
        <v>0.98</v>
      </c>
      <c r="AG30" s="148"/>
      <c r="AH30" s="148"/>
      <c r="AI30" s="148"/>
      <c r="AJ30" s="148"/>
      <c r="AK30" s="148"/>
      <c r="AL30" s="148"/>
      <c r="AM30" s="172"/>
      <c r="AN30" s="172"/>
    </row>
    <row r="31" spans="1:40" x14ac:dyDescent="0.3">
      <c r="A31" s="140">
        <f t="shared" si="10"/>
        <v>30</v>
      </c>
      <c r="B31" s="141" t="str">
        <f t="shared" ref="B31:C46" si="25">B19</f>
        <v>September</v>
      </c>
      <c r="C31" s="141">
        <f t="shared" si="25"/>
        <v>9</v>
      </c>
      <c r="D31" s="142">
        <v>44075</v>
      </c>
      <c r="E31" s="143">
        <f t="shared" si="24"/>
        <v>2020</v>
      </c>
      <c r="F31" s="143" t="s">
        <v>1177</v>
      </c>
      <c r="G31" s="144">
        <f t="shared" si="23"/>
        <v>30</v>
      </c>
      <c r="H31" s="149">
        <f t="shared" ref="H31:I46" si="26">H19</f>
        <v>142.5</v>
      </c>
      <c r="I31" s="149">
        <f t="shared" si="26"/>
        <v>145.4</v>
      </c>
      <c r="J31" s="146"/>
      <c r="K31" s="145"/>
      <c r="L31" s="144"/>
      <c r="M31" s="153">
        <f t="shared" si="21"/>
        <v>827.54770140409107</v>
      </c>
      <c r="N31" s="147">
        <v>8.0208999999999993</v>
      </c>
      <c r="O31" s="148">
        <f t="shared" si="13"/>
        <v>0.70958680060111445</v>
      </c>
      <c r="P31" s="146">
        <f t="shared" si="14"/>
        <v>4.8466666666666667</v>
      </c>
      <c r="Q31" s="144">
        <f>COUNTIFS('Daily KPI'!$D:$D,D31,'Daily KPI'!$O:$O,"&gt;0")</f>
        <v>0</v>
      </c>
      <c r="R31" s="147">
        <f t="shared" si="15"/>
        <v>0</v>
      </c>
      <c r="S31" s="147">
        <f>SUMIF($F$2:F31,F31,$R$2:R31)</f>
        <v>0</v>
      </c>
      <c r="T31" s="146">
        <f t="shared" si="16"/>
        <v>27.58492338013637</v>
      </c>
      <c r="U31" s="147">
        <f t="shared" si="17"/>
        <v>0</v>
      </c>
      <c r="V31" s="147">
        <f>SUMIF($F$2:F31,F31,$U$2:U31)</f>
        <v>0</v>
      </c>
      <c r="W31" s="148">
        <f t="shared" si="18"/>
        <v>0.14329711223250285</v>
      </c>
      <c r="X31" s="148" t="str">
        <f t="shared" si="8"/>
        <v/>
      </c>
      <c r="Y31" s="148" t="str">
        <f t="shared" si="9"/>
        <v/>
      </c>
      <c r="Z31" s="146" t="str">
        <f>IFERROR(AVERAGEIF('Daily KPI'!$D:$D,Table14[[#This Row],[Month]],'Daily KPI'!$AB:$AB),"")</f>
        <v/>
      </c>
      <c r="AA31" s="149">
        <f>IFERROR(AVERAGEIF($F$2:F31,F31,$N$2:N31),"")</f>
        <v>8.0208999999999993</v>
      </c>
      <c r="AB31" s="147"/>
      <c r="AC31" s="146"/>
      <c r="AD31" s="146"/>
      <c r="AE31" s="148">
        <v>0.98040000000000005</v>
      </c>
      <c r="AF31" s="148">
        <v>0.98</v>
      </c>
      <c r="AG31" s="148"/>
      <c r="AH31" s="148"/>
      <c r="AI31" s="148"/>
      <c r="AJ31" s="148"/>
      <c r="AK31" s="148"/>
      <c r="AL31" s="148"/>
      <c r="AM31" s="172"/>
      <c r="AN31" s="172"/>
    </row>
    <row r="32" spans="1:40" x14ac:dyDescent="0.3">
      <c r="A32" s="140">
        <f t="shared" si="10"/>
        <v>31</v>
      </c>
      <c r="B32" s="141" t="str">
        <f t="shared" si="25"/>
        <v>October</v>
      </c>
      <c r="C32" s="141">
        <f t="shared" si="25"/>
        <v>10</v>
      </c>
      <c r="D32" s="142">
        <v>44105</v>
      </c>
      <c r="E32" s="143">
        <f t="shared" si="24"/>
        <v>2020</v>
      </c>
      <c r="F32" s="143" t="s">
        <v>1177</v>
      </c>
      <c r="G32" s="144">
        <f t="shared" si="23"/>
        <v>31</v>
      </c>
      <c r="H32" s="149">
        <f t="shared" si="26"/>
        <v>145.69999999999999</v>
      </c>
      <c r="I32" s="149">
        <f t="shared" si="26"/>
        <v>158.80000000000001</v>
      </c>
      <c r="J32" s="146"/>
      <c r="K32" s="145"/>
      <c r="L32" s="144"/>
      <c r="M32" s="153">
        <f t="shared" si="21"/>
        <v>938.9483535161803</v>
      </c>
      <c r="N32" s="147">
        <v>8.0208999999999993</v>
      </c>
      <c r="O32" s="148">
        <f t="shared" si="13"/>
        <v>0.73717076724916697</v>
      </c>
      <c r="P32" s="146">
        <f t="shared" si="14"/>
        <v>5.1225806451612907</v>
      </c>
      <c r="Q32" s="144">
        <f>COUNTIFS('Daily KPI'!$D:$D,D32,'Daily KPI'!$O:$O,"&gt;0")</f>
        <v>0</v>
      </c>
      <c r="R32" s="147">
        <f t="shared" si="15"/>
        <v>0</v>
      </c>
      <c r="S32" s="147">
        <f>SUMIF($F$2:F32,F32,$R$2:R32)</f>
        <v>0</v>
      </c>
      <c r="T32" s="146">
        <f t="shared" si="16"/>
        <v>30.288656565038075</v>
      </c>
      <c r="U32" s="147">
        <f t="shared" si="17"/>
        <v>0</v>
      </c>
      <c r="V32" s="147">
        <f>SUMIF($F$2:F32,F32,$U$2:U32)</f>
        <v>0</v>
      </c>
      <c r="W32" s="148">
        <f t="shared" si="18"/>
        <v>0.15734236268705337</v>
      </c>
      <c r="X32" s="148" t="str">
        <f t="shared" si="8"/>
        <v/>
      </c>
      <c r="Y32" s="148" t="str">
        <f t="shared" si="9"/>
        <v/>
      </c>
      <c r="Z32" s="146" t="str">
        <f>IFERROR(AVERAGEIF('Daily KPI'!$D:$D,Table14[[#This Row],[Month]],'Daily KPI'!$AB:$AB),"")</f>
        <v/>
      </c>
      <c r="AA32" s="149">
        <f>IFERROR(AVERAGEIF($F$2:F32,F32,$N$2:N32),"")</f>
        <v>8.0208999999999993</v>
      </c>
      <c r="AB32" s="147"/>
      <c r="AC32" s="146"/>
      <c r="AD32" s="146"/>
      <c r="AE32" s="148">
        <v>0.98040000000000005</v>
      </c>
      <c r="AF32" s="148">
        <v>0.98</v>
      </c>
      <c r="AG32" s="148"/>
      <c r="AH32" s="148"/>
      <c r="AI32" s="148"/>
      <c r="AJ32" s="148"/>
      <c r="AK32" s="148"/>
      <c r="AL32" s="148"/>
      <c r="AM32" s="172"/>
      <c r="AN32" s="172"/>
    </row>
    <row r="33" spans="1:40" x14ac:dyDescent="0.3">
      <c r="A33" s="140">
        <f t="shared" si="10"/>
        <v>32</v>
      </c>
      <c r="B33" s="141" t="str">
        <f t="shared" si="25"/>
        <v>November</v>
      </c>
      <c r="C33" s="141">
        <f t="shared" si="25"/>
        <v>11</v>
      </c>
      <c r="D33" s="142">
        <v>44136</v>
      </c>
      <c r="E33" s="143">
        <f t="shared" si="24"/>
        <v>2020</v>
      </c>
      <c r="F33" s="143" t="s">
        <v>1177</v>
      </c>
      <c r="G33" s="144">
        <f t="shared" si="23"/>
        <v>30</v>
      </c>
      <c r="H33" s="149">
        <f t="shared" si="26"/>
        <v>138.9</v>
      </c>
      <c r="I33" s="149">
        <f t="shared" si="26"/>
        <v>163</v>
      </c>
      <c r="J33" s="146"/>
      <c r="K33" s="145"/>
      <c r="L33" s="144"/>
      <c r="M33" s="153">
        <f t="shared" si="21"/>
        <v>944.25314647389882</v>
      </c>
      <c r="N33" s="147">
        <v>8.0208999999999993</v>
      </c>
      <c r="O33" s="148">
        <f t="shared" si="13"/>
        <v>0.7222336756220531</v>
      </c>
      <c r="P33" s="146">
        <f t="shared" si="14"/>
        <v>5.4333333333333336</v>
      </c>
      <c r="Q33" s="144">
        <f>COUNTIFS('Daily KPI'!$D:$D,D33,'Daily KPI'!$O:$O,"&gt;0")</f>
        <v>0</v>
      </c>
      <c r="R33" s="147">
        <f t="shared" si="15"/>
        <v>0</v>
      </c>
      <c r="S33" s="147">
        <f>SUMIF($F$2:F33,F33,$R$2:R33)</f>
        <v>0</v>
      </c>
      <c r="T33" s="146">
        <f t="shared" si="16"/>
        <v>31.475104882463295</v>
      </c>
      <c r="U33" s="147">
        <f t="shared" si="17"/>
        <v>0</v>
      </c>
      <c r="V33" s="147">
        <f>SUMIF($F$2:F33,F33,$U$2:U33)</f>
        <v>0</v>
      </c>
      <c r="W33" s="148">
        <f t="shared" si="18"/>
        <v>0.1635056793422148</v>
      </c>
      <c r="X33" s="148" t="str">
        <f t="shared" si="8"/>
        <v/>
      </c>
      <c r="Y33" s="148" t="str">
        <f t="shared" si="9"/>
        <v/>
      </c>
      <c r="Z33" s="146" t="str">
        <f>IFERROR(AVERAGEIF('Daily KPI'!$D:$D,Table14[[#This Row],[Month]],'Daily KPI'!$AB:$AB),"")</f>
        <v/>
      </c>
      <c r="AA33" s="149">
        <f>IFERROR(AVERAGEIF($F$2:F33,F33,$N$2:N33),"")</f>
        <v>8.0208999999999993</v>
      </c>
      <c r="AB33" s="147"/>
      <c r="AC33" s="146"/>
      <c r="AD33" s="146"/>
      <c r="AE33" s="148">
        <v>0.98040000000000005</v>
      </c>
      <c r="AF33" s="148">
        <v>0.98</v>
      </c>
      <c r="AG33" s="148"/>
      <c r="AH33" s="148"/>
      <c r="AI33" s="148"/>
      <c r="AJ33" s="148"/>
      <c r="AK33" s="148"/>
      <c r="AL33" s="148"/>
      <c r="AM33" s="172"/>
      <c r="AN33" s="172"/>
    </row>
    <row r="34" spans="1:40" x14ac:dyDescent="0.3">
      <c r="A34" s="140">
        <f t="shared" si="10"/>
        <v>33</v>
      </c>
      <c r="B34" s="141" t="str">
        <f t="shared" si="25"/>
        <v>December</v>
      </c>
      <c r="C34" s="141">
        <f t="shared" si="25"/>
        <v>12</v>
      </c>
      <c r="D34" s="142">
        <v>44166</v>
      </c>
      <c r="E34" s="143">
        <f t="shared" si="24"/>
        <v>2020</v>
      </c>
      <c r="F34" s="143" t="s">
        <v>1177</v>
      </c>
      <c r="G34" s="144">
        <f t="shared" si="23"/>
        <v>31</v>
      </c>
      <c r="H34" s="149">
        <f t="shared" si="26"/>
        <v>134.69999999999999</v>
      </c>
      <c r="I34" s="149">
        <f t="shared" si="26"/>
        <v>163.69999999999999</v>
      </c>
      <c r="J34" s="146"/>
      <c r="K34" s="145"/>
      <c r="L34" s="144"/>
      <c r="M34" s="153">
        <f t="shared" si="21"/>
        <v>981.38669717792857</v>
      </c>
      <c r="N34" s="147">
        <v>8.0208999999999993</v>
      </c>
      <c r="O34" s="148">
        <f t="shared" si="13"/>
        <v>0.74742631726929265</v>
      </c>
      <c r="P34" s="146">
        <f t="shared" si="14"/>
        <v>5.2806451612903222</v>
      </c>
      <c r="Q34" s="144">
        <f>COUNTIFS('Daily KPI'!$D:$D,D34,'Daily KPI'!$O:$O,"&gt;0")</f>
        <v>0</v>
      </c>
      <c r="R34" s="147">
        <f t="shared" si="15"/>
        <v>0</v>
      </c>
      <c r="S34" s="147">
        <f>SUMIF($F$2:F97,F34,$R$2:R97)</f>
        <v>0</v>
      </c>
      <c r="T34" s="146">
        <f t="shared" si="16"/>
        <v>31.657635392836404</v>
      </c>
      <c r="U34" s="147">
        <f t="shared" si="17"/>
        <v>0</v>
      </c>
      <c r="V34" s="147">
        <f>SUMIF($F$2:F97,F34,$U$2:U97)</f>
        <v>0</v>
      </c>
      <c r="W34" s="148">
        <f t="shared" si="18"/>
        <v>0.16445388190454732</v>
      </c>
      <c r="X34" s="148" t="str">
        <f t="shared" ref="X34:X65" si="27">IFERROR(U34/(24*N34*Q34),"")</f>
        <v/>
      </c>
      <c r="Y34" s="148" t="str">
        <f t="shared" si="9"/>
        <v/>
      </c>
      <c r="Z34" s="146" t="str">
        <f>IFERROR(AVERAGEIF('Daily KPI'!$D:$D,Table14[[#This Row],[Month]],'Daily KPI'!$AB:$AB),"")</f>
        <v/>
      </c>
      <c r="AA34" s="149">
        <f>IFERROR(AVERAGEIF($F$2:F97,F34,$N$2:N97),"")</f>
        <v>8.0208999999999993</v>
      </c>
      <c r="AB34" s="147"/>
      <c r="AC34" s="146"/>
      <c r="AD34" s="146"/>
      <c r="AE34" s="148">
        <v>0.98040000000000005</v>
      </c>
      <c r="AF34" s="148">
        <v>0.98</v>
      </c>
      <c r="AG34" s="148"/>
      <c r="AH34" s="148"/>
      <c r="AI34" s="148"/>
      <c r="AJ34" s="148"/>
      <c r="AK34" s="148"/>
      <c r="AL34" s="148"/>
      <c r="AM34" s="172"/>
      <c r="AN34" s="172"/>
    </row>
    <row r="35" spans="1:40" x14ac:dyDescent="0.3">
      <c r="A35" s="140">
        <f t="shared" si="10"/>
        <v>34</v>
      </c>
      <c r="B35" s="141" t="str">
        <f t="shared" si="25"/>
        <v>January</v>
      </c>
      <c r="C35" s="141">
        <f t="shared" si="25"/>
        <v>1</v>
      </c>
      <c r="D35" s="142">
        <v>44197</v>
      </c>
      <c r="E35" s="143">
        <f t="shared" si="24"/>
        <v>2021</v>
      </c>
      <c r="F35" s="143" t="s">
        <v>1177</v>
      </c>
      <c r="G35" s="144">
        <f t="shared" si="23"/>
        <v>31</v>
      </c>
      <c r="H35" s="149">
        <f t="shared" si="26"/>
        <v>151.6</v>
      </c>
      <c r="I35" s="149">
        <f t="shared" si="26"/>
        <v>183.9</v>
      </c>
      <c r="J35" s="146"/>
      <c r="K35" s="145"/>
      <c r="L35" s="144"/>
      <c r="M35" s="153">
        <f t="shared" si="21"/>
        <v>1087.4825563322993</v>
      </c>
      <c r="N35" s="147">
        <v>8.0208999999999993</v>
      </c>
      <c r="O35" s="148">
        <f t="shared" si="13"/>
        <v>0.73725456161784642</v>
      </c>
      <c r="P35" s="146">
        <f t="shared" si="14"/>
        <v>5.9322580645161294</v>
      </c>
      <c r="Q35" s="144">
        <f>COUNTIFS('Daily KPI'!$D:$D,D35,'Daily KPI'!$O:$O,"&gt;0")</f>
        <v>0</v>
      </c>
      <c r="R35" s="147">
        <f t="shared" si="15"/>
        <v>0</v>
      </c>
      <c r="S35" s="147">
        <f>SUMIF($F$2:F35,F35,$R$2:R35)</f>
        <v>0</v>
      </c>
      <c r="T35" s="146">
        <f t="shared" si="16"/>
        <v>35.080082462332236</v>
      </c>
      <c r="U35" s="147">
        <f t="shared" si="17"/>
        <v>0</v>
      </c>
      <c r="V35" s="147">
        <f>SUMIF($F$2:F35,F35,$U$2:U35)</f>
        <v>0</v>
      </c>
      <c r="W35" s="148">
        <f t="shared" si="18"/>
        <v>0.18223267994828218</v>
      </c>
      <c r="X35" s="148" t="str">
        <f t="shared" si="27"/>
        <v/>
      </c>
      <c r="Y35" s="148" t="str">
        <f t="shared" si="9"/>
        <v/>
      </c>
      <c r="Z35" s="146" t="str">
        <f>IFERROR(AVERAGEIF('Daily KPI'!$D:$D,Table14[[#This Row],[Month]],'Daily KPI'!$AB:$AB),"")</f>
        <v/>
      </c>
      <c r="AA35" s="149">
        <f>IFERROR(AVERAGEIF($F$2:F35,F35,$N$2:N35),"")</f>
        <v>8.0208999999999993</v>
      </c>
      <c r="AB35" s="147"/>
      <c r="AC35" s="146"/>
      <c r="AD35" s="146"/>
      <c r="AE35" s="148">
        <v>0.98040000000000005</v>
      </c>
      <c r="AF35" s="148">
        <v>0.98</v>
      </c>
      <c r="AG35" s="148"/>
      <c r="AH35" s="148"/>
      <c r="AI35" s="148"/>
      <c r="AJ35" s="148"/>
      <c r="AK35" s="148"/>
      <c r="AL35" s="148"/>
      <c r="AM35" s="172"/>
      <c r="AN35" s="172"/>
    </row>
    <row r="36" spans="1:40" x14ac:dyDescent="0.3">
      <c r="A36" s="140">
        <f t="shared" si="10"/>
        <v>35</v>
      </c>
      <c r="B36" s="141" t="str">
        <f t="shared" si="25"/>
        <v>February</v>
      </c>
      <c r="C36" s="141">
        <f t="shared" si="25"/>
        <v>2</v>
      </c>
      <c r="D36" s="142">
        <v>44228</v>
      </c>
      <c r="E36" s="143">
        <f t="shared" si="24"/>
        <v>2021</v>
      </c>
      <c r="F36" s="143" t="s">
        <v>1177</v>
      </c>
      <c r="G36" s="144">
        <f t="shared" si="23"/>
        <v>28</v>
      </c>
      <c r="H36" s="149">
        <f t="shared" si="26"/>
        <v>159.9</v>
      </c>
      <c r="I36" s="149">
        <f t="shared" si="26"/>
        <v>184</v>
      </c>
      <c r="J36" s="146"/>
      <c r="K36" s="145"/>
      <c r="L36" s="144"/>
      <c r="M36" s="153">
        <f t="shared" si="21"/>
        <v>1038.6058690088</v>
      </c>
      <c r="N36" s="147">
        <v>8.0208999999999993</v>
      </c>
      <c r="O36" s="148">
        <f t="shared" si="13"/>
        <v>0.70373612863622048</v>
      </c>
      <c r="P36" s="146">
        <f t="shared" si="14"/>
        <v>6.5714285714285712</v>
      </c>
      <c r="Q36" s="144">
        <f>COUNTIFS('Daily KPI'!$D:$D,D36,'Daily KPI'!$O:$O,"&gt;0")</f>
        <v>0</v>
      </c>
      <c r="R36" s="147">
        <f t="shared" si="15"/>
        <v>0</v>
      </c>
      <c r="S36" s="147">
        <f>SUMIF($F$2:F36,F36,$R$2:R36)</f>
        <v>0</v>
      </c>
      <c r="T36" s="146">
        <f t="shared" si="16"/>
        <v>37.093066750314286</v>
      </c>
      <c r="U36" s="147">
        <f t="shared" si="17"/>
        <v>0</v>
      </c>
      <c r="V36" s="147">
        <f>SUMIF($F$2:F36,F36,$U$2:U36)</f>
        <v>0</v>
      </c>
      <c r="W36" s="148">
        <f t="shared" si="18"/>
        <v>0.19268965426944132</v>
      </c>
      <c r="X36" s="148" t="str">
        <f t="shared" si="27"/>
        <v/>
      </c>
      <c r="Y36" s="148" t="str">
        <f t="shared" si="9"/>
        <v/>
      </c>
      <c r="Z36" s="146" t="str">
        <f>IFERROR(AVERAGEIF('Daily KPI'!$D:$D,Table14[[#This Row],[Month]],'Daily KPI'!$AB:$AB),"")</f>
        <v/>
      </c>
      <c r="AA36" s="149">
        <f>IFERROR(AVERAGEIF($F$2:F36,F36,$N$2:N36),"")</f>
        <v>8.0208999999999993</v>
      </c>
      <c r="AB36" s="147"/>
      <c r="AC36" s="146"/>
      <c r="AD36" s="146"/>
      <c r="AE36" s="148">
        <v>0.98040000000000005</v>
      </c>
      <c r="AF36" s="148">
        <v>0.98</v>
      </c>
      <c r="AG36" s="148"/>
      <c r="AH36" s="148"/>
      <c r="AI36" s="148"/>
      <c r="AJ36" s="148"/>
      <c r="AK36" s="148"/>
      <c r="AL36" s="148"/>
      <c r="AM36" s="172"/>
      <c r="AN36" s="172"/>
    </row>
    <row r="37" spans="1:40" x14ac:dyDescent="0.3">
      <c r="A37" s="140">
        <f t="shared" si="10"/>
        <v>36</v>
      </c>
      <c r="B37" s="141" t="str">
        <f t="shared" si="25"/>
        <v>March</v>
      </c>
      <c r="C37" s="141">
        <f t="shared" si="25"/>
        <v>3</v>
      </c>
      <c r="D37" s="142">
        <v>44256</v>
      </c>
      <c r="E37" s="143">
        <f t="shared" si="24"/>
        <v>2021</v>
      </c>
      <c r="F37" s="143" t="s">
        <v>1177</v>
      </c>
      <c r="G37" s="144">
        <f t="shared" si="23"/>
        <v>31</v>
      </c>
      <c r="H37" s="149">
        <f t="shared" si="26"/>
        <v>197.2</v>
      </c>
      <c r="I37" s="149">
        <f t="shared" si="26"/>
        <v>210.4</v>
      </c>
      <c r="J37" s="146"/>
      <c r="K37" s="145"/>
      <c r="L37" s="144"/>
      <c r="M37" s="153">
        <f t="shared" si="21"/>
        <v>1204.1880014021069</v>
      </c>
      <c r="N37" s="147">
        <v>8.0208999999999993</v>
      </c>
      <c r="O37" s="148">
        <f t="shared" si="13"/>
        <v>0.71355172148533519</v>
      </c>
      <c r="P37" s="146">
        <f t="shared" si="14"/>
        <v>6.7870967741935484</v>
      </c>
      <c r="Q37" s="144">
        <f>COUNTIFS('Daily KPI'!$D:$D,D37,'Daily KPI'!$O:$O,"&gt;0")</f>
        <v>0</v>
      </c>
      <c r="R37" s="147">
        <f t="shared" si="15"/>
        <v>0</v>
      </c>
      <c r="S37" s="147">
        <f>SUMIF($F$2:F37,F37,$R$2:R37)</f>
        <v>0</v>
      </c>
      <c r="T37" s="146">
        <f t="shared" si="16"/>
        <v>38.844774238777646</v>
      </c>
      <c r="U37" s="147">
        <f t="shared" si="17"/>
        <v>0</v>
      </c>
      <c r="V37" s="147">
        <f>SUMIF($F$2:F37,F37,$U$2:U37)</f>
        <v>0</v>
      </c>
      <c r="W37" s="148">
        <f t="shared" si="18"/>
        <v>0.20178935779639051</v>
      </c>
      <c r="X37" s="148" t="str">
        <f t="shared" si="27"/>
        <v/>
      </c>
      <c r="Y37" s="148" t="str">
        <f t="shared" si="9"/>
        <v/>
      </c>
      <c r="Z37" s="146" t="str">
        <f>IFERROR(AVERAGEIF('Daily KPI'!$D:$D,Table14[[#This Row],[Month]],'Daily KPI'!$AB:$AB),"")</f>
        <v/>
      </c>
      <c r="AA37" s="149">
        <f>IFERROR(AVERAGEIF($F$2:F37,F37,$N$2:N37),"")</f>
        <v>8.0208999999999993</v>
      </c>
      <c r="AB37" s="147"/>
      <c r="AC37" s="146"/>
      <c r="AD37" s="146"/>
      <c r="AE37" s="148">
        <v>0.98040000000000005</v>
      </c>
      <c r="AF37" s="148">
        <v>0.98</v>
      </c>
      <c r="AG37" s="148"/>
      <c r="AH37" s="148"/>
      <c r="AI37" s="148"/>
      <c r="AJ37" s="148"/>
      <c r="AK37" s="148"/>
      <c r="AL37" s="148"/>
      <c r="AM37" s="172"/>
      <c r="AN37" s="172"/>
    </row>
    <row r="38" spans="1:40" x14ac:dyDescent="0.3">
      <c r="A38" s="140">
        <f t="shared" si="10"/>
        <v>37</v>
      </c>
      <c r="B38" s="141" t="str">
        <f t="shared" si="25"/>
        <v>April</v>
      </c>
      <c r="C38" s="141">
        <f t="shared" si="25"/>
        <v>4</v>
      </c>
      <c r="D38" s="142">
        <v>44287</v>
      </c>
      <c r="E38" s="143">
        <f t="shared" si="24"/>
        <v>2021</v>
      </c>
      <c r="F38" s="143" t="s">
        <v>1178</v>
      </c>
      <c r="G38" s="144">
        <f t="shared" si="23"/>
        <v>30</v>
      </c>
      <c r="H38" s="149">
        <f t="shared" si="26"/>
        <v>193.6</v>
      </c>
      <c r="I38" s="149">
        <f t="shared" si="26"/>
        <v>191.7</v>
      </c>
      <c r="J38" s="146"/>
      <c r="K38" s="145"/>
      <c r="L38" s="144"/>
      <c r="M38" s="153">
        <f t="shared" si="21"/>
        <v>1055.6537985859879</v>
      </c>
      <c r="N38" s="147">
        <v>8.0208999999999993</v>
      </c>
      <c r="O38" s="148">
        <f t="shared" si="13"/>
        <v>0.68655652664663702</v>
      </c>
      <c r="P38" s="146">
        <f t="shared" si="14"/>
        <v>6.39</v>
      </c>
      <c r="Q38" s="144">
        <f>COUNTIFS('Daily KPI'!$D:$D,D38,'Daily KPI'!$O:$O,"&gt;0")</f>
        <v>0</v>
      </c>
      <c r="R38" s="147">
        <f t="shared" si="15"/>
        <v>0</v>
      </c>
      <c r="S38" s="147">
        <f>SUMIF($F$2:F38,F38,$R$2:R38)</f>
        <v>0</v>
      </c>
      <c r="T38" s="146">
        <f t="shared" si="16"/>
        <v>35.188459952866268</v>
      </c>
      <c r="U38" s="147">
        <f t="shared" si="17"/>
        <v>0</v>
      </c>
      <c r="V38" s="147">
        <f>SUMIF($F$2:F38,F38,$U$2:U38)</f>
        <v>0</v>
      </c>
      <c r="W38" s="148">
        <f t="shared" si="18"/>
        <v>0.18279567521966711</v>
      </c>
      <c r="X38" s="148" t="str">
        <f t="shared" si="27"/>
        <v/>
      </c>
      <c r="Y38" s="148" t="str">
        <f t="shared" si="9"/>
        <v/>
      </c>
      <c r="Z38" s="146" t="str">
        <f>IFERROR(AVERAGEIF('Daily KPI'!$D:$D,Table14[[#This Row],[Month]],'Daily KPI'!$AB:$AB),"")</f>
        <v/>
      </c>
      <c r="AA38" s="149">
        <f>IFERROR(AVERAGEIF($F$2:F38,F38,$N$2:N38),"")</f>
        <v>8.0208999999999993</v>
      </c>
      <c r="AB38" s="147"/>
      <c r="AC38" s="146"/>
      <c r="AD38" s="146"/>
      <c r="AE38" s="148">
        <v>0.98040000000000005</v>
      </c>
      <c r="AF38" s="148">
        <v>0.98</v>
      </c>
      <c r="AG38" s="148"/>
      <c r="AH38" s="148"/>
      <c r="AI38" s="148"/>
      <c r="AJ38" s="148"/>
      <c r="AK38" s="148"/>
      <c r="AL38" s="148"/>
      <c r="AM38" s="172"/>
      <c r="AN38" s="172"/>
    </row>
    <row r="39" spans="1:40" x14ac:dyDescent="0.3">
      <c r="A39" s="140">
        <f t="shared" si="10"/>
        <v>38</v>
      </c>
      <c r="B39" s="141" t="str">
        <f t="shared" si="25"/>
        <v>May</v>
      </c>
      <c r="C39" s="141">
        <f t="shared" si="25"/>
        <v>5</v>
      </c>
      <c r="D39" s="142">
        <v>44317</v>
      </c>
      <c r="E39" s="143">
        <f t="shared" si="24"/>
        <v>2021</v>
      </c>
      <c r="F39" s="143" t="s">
        <v>1178</v>
      </c>
      <c r="G39" s="144">
        <f t="shared" si="23"/>
        <v>31</v>
      </c>
      <c r="H39" s="149">
        <f t="shared" si="26"/>
        <v>198.6</v>
      </c>
      <c r="I39" s="149">
        <f t="shared" si="26"/>
        <v>186.4</v>
      </c>
      <c r="J39" s="146"/>
      <c r="K39" s="145"/>
      <c r="L39" s="144"/>
      <c r="M39" s="153">
        <f t="shared" si="21"/>
        <v>1060.9585915437065</v>
      </c>
      <c r="N39" s="147">
        <v>8.0208999999999993</v>
      </c>
      <c r="O39" s="148">
        <f t="shared" si="13"/>
        <v>0.70962584466409462</v>
      </c>
      <c r="P39" s="146">
        <f t="shared" si="14"/>
        <v>6.0129032258064514</v>
      </c>
      <c r="Q39" s="144">
        <f>COUNTIFS('Daily KPI'!$D:$D,D39,'Daily KPI'!$O:$O,"&gt;0")</f>
        <v>0</v>
      </c>
      <c r="R39" s="147">
        <f t="shared" si="15"/>
        <v>0</v>
      </c>
      <c r="S39" s="147">
        <f>SUMIF($F$2:F39,F39,$R$2:R39)</f>
        <v>0</v>
      </c>
      <c r="T39" s="146">
        <f t="shared" si="16"/>
        <v>34.224470694958271</v>
      </c>
      <c r="U39" s="147">
        <f t="shared" si="17"/>
        <v>0</v>
      </c>
      <c r="V39" s="147">
        <f>SUMIF($F$2:F39,F39,$U$2:U39)</f>
        <v>0</v>
      </c>
      <c r="W39" s="148">
        <f t="shared" si="18"/>
        <v>0.17778798043734842</v>
      </c>
      <c r="X39" s="148" t="str">
        <f t="shared" si="27"/>
        <v/>
      </c>
      <c r="Y39" s="148" t="str">
        <f t="shared" si="9"/>
        <v/>
      </c>
      <c r="Z39" s="146" t="str">
        <f>IFERROR(AVERAGEIF('Daily KPI'!$D:$D,Table14[[#This Row],[Month]],'Daily KPI'!$AB:$AB),"")</f>
        <v/>
      </c>
      <c r="AA39" s="149">
        <f>IFERROR(AVERAGEIF($F$2:F39,F39,$N$2:N39),"")</f>
        <v>8.0208999999999993</v>
      </c>
      <c r="AB39" s="147"/>
      <c r="AC39" s="146"/>
      <c r="AD39" s="146"/>
      <c r="AE39" s="148">
        <v>0.98040000000000005</v>
      </c>
      <c r="AF39" s="148">
        <v>0.98</v>
      </c>
      <c r="AG39" s="148"/>
      <c r="AH39" s="148"/>
      <c r="AI39" s="148"/>
      <c r="AJ39" s="148"/>
      <c r="AK39" s="148"/>
      <c r="AL39" s="148"/>
      <c r="AM39" s="172"/>
      <c r="AN39" s="172"/>
    </row>
    <row r="40" spans="1:40" x14ac:dyDescent="0.3">
      <c r="A40" s="140">
        <f t="shared" si="10"/>
        <v>39</v>
      </c>
      <c r="B40" s="141" t="str">
        <f t="shared" si="25"/>
        <v>June</v>
      </c>
      <c r="C40" s="141">
        <f t="shared" si="25"/>
        <v>6</v>
      </c>
      <c r="D40" s="142">
        <v>44348</v>
      </c>
      <c r="E40" s="143">
        <f t="shared" si="24"/>
        <v>2021</v>
      </c>
      <c r="F40" s="143" t="s">
        <v>1178</v>
      </c>
      <c r="G40" s="144">
        <f t="shared" si="23"/>
        <v>30</v>
      </c>
      <c r="H40" s="149">
        <f t="shared" si="26"/>
        <v>154.80000000000001</v>
      </c>
      <c r="I40" s="149">
        <f t="shared" si="26"/>
        <v>142.80000000000001</v>
      </c>
      <c r="J40" s="146"/>
      <c r="K40" s="145"/>
      <c r="L40" s="144"/>
      <c r="M40" s="153">
        <f t="shared" si="21"/>
        <v>790.41415070006133</v>
      </c>
      <c r="N40" s="147">
        <v>8.0208999999999993</v>
      </c>
      <c r="O40" s="148">
        <f t="shared" si="13"/>
        <v>0.6900862870925315</v>
      </c>
      <c r="P40" s="146">
        <f t="shared" si="14"/>
        <v>4.7600000000000007</v>
      </c>
      <c r="Q40" s="144">
        <f>COUNTIFS('Daily KPI'!$D:$D,D40,'Daily KPI'!$O:$O,"&gt;0")</f>
        <v>0</v>
      </c>
      <c r="R40" s="147">
        <f t="shared" si="15"/>
        <v>0</v>
      </c>
      <c r="S40" s="147">
        <f>SUMIF($F$2:F40,F40,$R$2:R40)</f>
        <v>0</v>
      </c>
      <c r="T40" s="146">
        <f t="shared" si="16"/>
        <v>26.347138356668712</v>
      </c>
      <c r="U40" s="147">
        <f t="shared" si="17"/>
        <v>0</v>
      </c>
      <c r="V40" s="147">
        <f>SUMIF($F$2:F40,F40,$U$2:U40)</f>
        <v>0</v>
      </c>
      <c r="W40" s="148">
        <f t="shared" si="18"/>
        <v>0.13686711360668541</v>
      </c>
      <c r="X40" s="148" t="str">
        <f t="shared" si="27"/>
        <v/>
      </c>
      <c r="Y40" s="148" t="str">
        <f t="shared" si="9"/>
        <v/>
      </c>
      <c r="Z40" s="146" t="str">
        <f>IFERROR(AVERAGEIF('Daily KPI'!$D:$D,Table14[[#This Row],[Month]],'Daily KPI'!$AB:$AB),"")</f>
        <v/>
      </c>
      <c r="AA40" s="149">
        <f>IFERROR(AVERAGEIF($F$2:F40,F40,$N$2:N40),"")</f>
        <v>8.0208999999999993</v>
      </c>
      <c r="AB40" s="147"/>
      <c r="AC40" s="146"/>
      <c r="AD40" s="146"/>
      <c r="AE40" s="148">
        <v>0.98040000000000005</v>
      </c>
      <c r="AF40" s="148">
        <v>0.98</v>
      </c>
      <c r="AG40" s="148"/>
      <c r="AH40" s="148"/>
      <c r="AI40" s="148"/>
      <c r="AJ40" s="148"/>
      <c r="AK40" s="148"/>
      <c r="AL40" s="148"/>
      <c r="AM40" s="172"/>
      <c r="AN40" s="172"/>
    </row>
    <row r="41" spans="1:40" x14ac:dyDescent="0.3">
      <c r="A41" s="140">
        <f t="shared" si="10"/>
        <v>40</v>
      </c>
      <c r="B41" s="141" t="str">
        <f t="shared" si="25"/>
        <v>July</v>
      </c>
      <c r="C41" s="141">
        <f t="shared" si="25"/>
        <v>7</v>
      </c>
      <c r="D41" s="142">
        <v>44378</v>
      </c>
      <c r="E41" s="143">
        <f t="shared" si="24"/>
        <v>2021</v>
      </c>
      <c r="F41" s="143" t="s">
        <v>1178</v>
      </c>
      <c r="G41" s="144">
        <f t="shared" si="23"/>
        <v>31</v>
      </c>
      <c r="H41" s="149">
        <f t="shared" si="26"/>
        <v>134.4</v>
      </c>
      <c r="I41" s="149">
        <f t="shared" si="26"/>
        <v>125.4</v>
      </c>
      <c r="J41" s="146"/>
      <c r="K41" s="145"/>
      <c r="L41" s="144"/>
      <c r="M41" s="153">
        <f t="shared" si="21"/>
        <v>721.45184224972047</v>
      </c>
      <c r="N41" s="147">
        <v>8.0208999999999993</v>
      </c>
      <c r="O41" s="148">
        <f t="shared" si="13"/>
        <v>0.71727667514245075</v>
      </c>
      <c r="P41" s="146">
        <f t="shared" si="14"/>
        <v>4.0451612903225804</v>
      </c>
      <c r="Q41" s="144">
        <f>COUNTIFS('Daily KPI'!$D:$D,D41,'Daily KPI'!$O:$O,"&gt;0")</f>
        <v>0</v>
      </c>
      <c r="R41" s="147">
        <f t="shared" si="15"/>
        <v>0</v>
      </c>
      <c r="S41" s="147">
        <f>SUMIF($F$2:F41,F41,$R$2:R41)</f>
        <v>0</v>
      </c>
      <c r="T41" s="146">
        <f t="shared" si="16"/>
        <v>23.27264007257163</v>
      </c>
      <c r="U41" s="147">
        <f t="shared" si="17"/>
        <v>0</v>
      </c>
      <c r="V41" s="147">
        <f>SUMIF($F$2:F41,F41,$U$2:U41)</f>
        <v>0</v>
      </c>
      <c r="W41" s="148">
        <f t="shared" si="18"/>
        <v>0.12089582669739696</v>
      </c>
      <c r="X41" s="148" t="str">
        <f t="shared" si="27"/>
        <v/>
      </c>
      <c r="Y41" s="148" t="str">
        <f t="shared" si="9"/>
        <v/>
      </c>
      <c r="Z41" s="146" t="str">
        <f>IFERROR(AVERAGEIF('Daily KPI'!$D:$D,Table14[[#This Row],[Month]],'Daily KPI'!$AB:$AB),"")</f>
        <v/>
      </c>
      <c r="AA41" s="149">
        <f>IFERROR(AVERAGEIF($F$2:F41,F41,$N$2:N41),"")</f>
        <v>8.0208999999999993</v>
      </c>
      <c r="AB41" s="147"/>
      <c r="AC41" s="146"/>
      <c r="AD41" s="146"/>
      <c r="AE41" s="148">
        <v>0.98040000000000005</v>
      </c>
      <c r="AF41" s="148">
        <v>0.98</v>
      </c>
      <c r="AG41" s="148"/>
      <c r="AH41" s="148"/>
      <c r="AI41" s="148"/>
      <c r="AJ41" s="148"/>
      <c r="AK41" s="148"/>
      <c r="AL41" s="148"/>
      <c r="AM41" s="172"/>
      <c r="AN41" s="172"/>
    </row>
    <row r="42" spans="1:40" x14ac:dyDescent="0.3">
      <c r="A42" s="140">
        <f t="shared" si="10"/>
        <v>41</v>
      </c>
      <c r="B42" s="141" t="str">
        <f t="shared" si="25"/>
        <v>August</v>
      </c>
      <c r="C42" s="141">
        <f t="shared" si="25"/>
        <v>8</v>
      </c>
      <c r="D42" s="142">
        <v>44409</v>
      </c>
      <c r="E42" s="143">
        <f t="shared" si="24"/>
        <v>2021</v>
      </c>
      <c r="F42" s="143" t="s">
        <v>1178</v>
      </c>
      <c r="G42" s="144">
        <f t="shared" si="23"/>
        <v>31</v>
      </c>
      <c r="H42" s="149">
        <f t="shared" si="26"/>
        <v>134.6</v>
      </c>
      <c r="I42" s="149">
        <f t="shared" si="26"/>
        <v>130.69999999999999</v>
      </c>
      <c r="J42" s="146"/>
      <c r="K42" s="145"/>
      <c r="L42" s="144"/>
      <c r="M42" s="153">
        <f t="shared" si="21"/>
        <v>763.89018591146873</v>
      </c>
      <c r="N42" s="147">
        <v>8.0208999999999993</v>
      </c>
      <c r="O42" s="148">
        <f t="shared" si="13"/>
        <v>0.72867226748797886</v>
      </c>
      <c r="P42" s="146">
        <f t="shared" si="14"/>
        <v>4.2161290322580642</v>
      </c>
      <c r="Q42" s="144">
        <f>COUNTIFS('Daily KPI'!$D:$D,D42,'Daily KPI'!$O:$O,"&gt;0")</f>
        <v>0</v>
      </c>
      <c r="R42" s="147">
        <f t="shared" si="15"/>
        <v>0</v>
      </c>
      <c r="S42" s="147">
        <f>SUMIF($F$2:F42,F42,$R$2:R42)</f>
        <v>0</v>
      </c>
      <c r="T42" s="146">
        <f t="shared" si="16"/>
        <v>24.641618900369959</v>
      </c>
      <c r="U42" s="147">
        <f t="shared" si="17"/>
        <v>0</v>
      </c>
      <c r="V42" s="147">
        <f>SUMIF($F$2:F42,F42,$U$2:U42)</f>
        <v>0</v>
      </c>
      <c r="W42" s="148">
        <f t="shared" si="18"/>
        <v>0.12800734591489088</v>
      </c>
      <c r="X42" s="148" t="str">
        <f t="shared" si="27"/>
        <v/>
      </c>
      <c r="Y42" s="148" t="str">
        <f t="shared" si="9"/>
        <v/>
      </c>
      <c r="Z42" s="146" t="str">
        <f>IFERROR(AVERAGEIF('Daily KPI'!$D:$D,Table14[[#This Row],[Month]],'Daily KPI'!$AB:$AB),"")</f>
        <v/>
      </c>
      <c r="AA42" s="149">
        <f>IFERROR(AVERAGEIF($F$2:F42,F42,$N$2:N42),"")</f>
        <v>8.0208999999999993</v>
      </c>
      <c r="AB42" s="147"/>
      <c r="AC42" s="146"/>
      <c r="AD42" s="146"/>
      <c r="AE42" s="148">
        <v>0.98040000000000005</v>
      </c>
      <c r="AF42" s="148">
        <v>0.98</v>
      </c>
      <c r="AG42" s="148"/>
      <c r="AH42" s="148"/>
      <c r="AI42" s="148"/>
      <c r="AJ42" s="148"/>
      <c r="AK42" s="148"/>
      <c r="AL42" s="148"/>
      <c r="AM42" s="172"/>
      <c r="AN42" s="172"/>
    </row>
    <row r="43" spans="1:40" x14ac:dyDescent="0.3">
      <c r="A43" s="140">
        <f t="shared" si="10"/>
        <v>42</v>
      </c>
      <c r="B43" s="141" t="str">
        <f t="shared" si="25"/>
        <v>September</v>
      </c>
      <c r="C43" s="141">
        <f t="shared" si="25"/>
        <v>9</v>
      </c>
      <c r="D43" s="142">
        <v>44440</v>
      </c>
      <c r="E43" s="143">
        <f t="shared" si="24"/>
        <v>2021</v>
      </c>
      <c r="F43" s="143" t="s">
        <v>1178</v>
      </c>
      <c r="G43" s="144">
        <f t="shared" si="23"/>
        <v>30</v>
      </c>
      <c r="H43" s="149">
        <f t="shared" si="26"/>
        <v>142.5</v>
      </c>
      <c r="I43" s="149">
        <f t="shared" si="26"/>
        <v>145.4</v>
      </c>
      <c r="J43" s="146"/>
      <c r="K43" s="145"/>
      <c r="L43" s="144"/>
      <c r="M43" s="153">
        <f t="shared" si="21"/>
        <v>827.54770140409107</v>
      </c>
      <c r="N43" s="147">
        <v>8.0208999999999993</v>
      </c>
      <c r="O43" s="148">
        <f t="shared" si="13"/>
        <v>0.70958680060111445</v>
      </c>
      <c r="P43" s="146">
        <f t="shared" si="14"/>
        <v>4.8466666666666667</v>
      </c>
      <c r="Q43" s="144">
        <f>COUNTIFS('Daily KPI'!$D:$D,D43,'Daily KPI'!$O:$O,"&gt;0")</f>
        <v>0</v>
      </c>
      <c r="R43" s="147">
        <f t="shared" si="15"/>
        <v>0</v>
      </c>
      <c r="S43" s="147">
        <f>SUMIF($F$2:F97,F43,$R$2:R97)</f>
        <v>0</v>
      </c>
      <c r="T43" s="146">
        <f t="shared" si="16"/>
        <v>27.58492338013637</v>
      </c>
      <c r="U43" s="147">
        <f t="shared" si="17"/>
        <v>0</v>
      </c>
      <c r="V43" s="147">
        <f>SUMIF($F$2:F97,F43,$U$2:U97)</f>
        <v>0</v>
      </c>
      <c r="W43" s="148">
        <f t="shared" si="18"/>
        <v>0.14329711223250285</v>
      </c>
      <c r="X43" s="148" t="str">
        <f t="shared" si="27"/>
        <v/>
      </c>
      <c r="Y43" s="148" t="str">
        <f t="shared" si="9"/>
        <v/>
      </c>
      <c r="Z43" s="146" t="str">
        <f>IFERROR(AVERAGEIF('Daily KPI'!$D:$D,Table14[[#This Row],[Month]],'Daily KPI'!$AB:$AB),"")</f>
        <v/>
      </c>
      <c r="AA43" s="149">
        <f>IFERROR(AVERAGEIF($F$2:F97,F43,$N$2:N97),"")</f>
        <v>8.0208999999999993</v>
      </c>
      <c r="AB43" s="147"/>
      <c r="AC43" s="146"/>
      <c r="AD43" s="146"/>
      <c r="AE43" s="148">
        <v>0.98040000000000005</v>
      </c>
      <c r="AF43" s="148">
        <v>0.98</v>
      </c>
      <c r="AG43" s="148"/>
      <c r="AH43" s="148"/>
      <c r="AI43" s="148"/>
      <c r="AJ43" s="148"/>
      <c r="AK43" s="148"/>
      <c r="AL43" s="148"/>
      <c r="AM43" s="172"/>
      <c r="AN43" s="172"/>
    </row>
    <row r="44" spans="1:40" x14ac:dyDescent="0.3">
      <c r="A44" s="140">
        <f t="shared" si="10"/>
        <v>43</v>
      </c>
      <c r="B44" s="141" t="str">
        <f t="shared" si="25"/>
        <v>October</v>
      </c>
      <c r="C44" s="141">
        <f t="shared" si="25"/>
        <v>10</v>
      </c>
      <c r="D44" s="142">
        <v>44470</v>
      </c>
      <c r="E44" s="143">
        <f t="shared" si="24"/>
        <v>2021</v>
      </c>
      <c r="F44" s="143" t="s">
        <v>1178</v>
      </c>
      <c r="G44" s="144">
        <f t="shared" si="23"/>
        <v>31</v>
      </c>
      <c r="H44" s="149">
        <f t="shared" si="26"/>
        <v>145.69999999999999</v>
      </c>
      <c r="I44" s="149">
        <f t="shared" si="26"/>
        <v>158.80000000000001</v>
      </c>
      <c r="J44" s="146"/>
      <c r="K44" s="145"/>
      <c r="L44" s="144"/>
      <c r="M44" s="153">
        <f t="shared" si="21"/>
        <v>938.9483535161803</v>
      </c>
      <c r="N44" s="147">
        <v>8.0208999999999993</v>
      </c>
      <c r="O44" s="148">
        <f t="shared" si="13"/>
        <v>0.73717076724916697</v>
      </c>
      <c r="P44" s="146">
        <f t="shared" si="14"/>
        <v>5.1225806451612907</v>
      </c>
      <c r="Q44" s="144">
        <f>COUNTIFS('Daily KPI'!$D:$D,D44,'Daily KPI'!$O:$O,"&gt;0")</f>
        <v>0</v>
      </c>
      <c r="R44" s="147">
        <f t="shared" si="15"/>
        <v>0</v>
      </c>
      <c r="S44" s="147">
        <f>SUMIF($F$2:F44,F44,$R$2:R44)</f>
        <v>0</v>
      </c>
      <c r="T44" s="146">
        <f t="shared" si="16"/>
        <v>30.288656565038075</v>
      </c>
      <c r="U44" s="147">
        <f t="shared" si="17"/>
        <v>0</v>
      </c>
      <c r="V44" s="147">
        <f>SUMIF($F$2:F44,F44,$U$2:U44)</f>
        <v>0</v>
      </c>
      <c r="W44" s="148">
        <f t="shared" si="18"/>
        <v>0.15734236268705337</v>
      </c>
      <c r="X44" s="148" t="str">
        <f t="shared" si="27"/>
        <v/>
      </c>
      <c r="Y44" s="148" t="str">
        <f t="shared" si="9"/>
        <v/>
      </c>
      <c r="Z44" s="146" t="str">
        <f>IFERROR(AVERAGEIF('Daily KPI'!$D:$D,Table14[[#This Row],[Month]],'Daily KPI'!$AB:$AB),"")</f>
        <v/>
      </c>
      <c r="AA44" s="149">
        <f>IFERROR(AVERAGEIF($F$2:F44,F44,$N$2:N44),"")</f>
        <v>8.0208999999999993</v>
      </c>
      <c r="AB44" s="147"/>
      <c r="AC44" s="146"/>
      <c r="AD44" s="146"/>
      <c r="AE44" s="148">
        <v>0.98040000000000005</v>
      </c>
      <c r="AF44" s="148">
        <v>0.98</v>
      </c>
      <c r="AG44" s="148"/>
      <c r="AH44" s="148"/>
      <c r="AI44" s="148"/>
      <c r="AJ44" s="148"/>
      <c r="AK44" s="148"/>
      <c r="AL44" s="148"/>
      <c r="AM44" s="172"/>
      <c r="AN44" s="172"/>
    </row>
    <row r="45" spans="1:40" x14ac:dyDescent="0.3">
      <c r="A45" s="140">
        <f t="shared" si="10"/>
        <v>44</v>
      </c>
      <c r="B45" s="141" t="str">
        <f t="shared" si="25"/>
        <v>November</v>
      </c>
      <c r="C45" s="141">
        <f t="shared" si="25"/>
        <v>11</v>
      </c>
      <c r="D45" s="142">
        <v>44501</v>
      </c>
      <c r="E45" s="143">
        <f t="shared" si="24"/>
        <v>2021</v>
      </c>
      <c r="F45" s="143" t="s">
        <v>1178</v>
      </c>
      <c r="G45" s="144">
        <f t="shared" si="23"/>
        <v>30</v>
      </c>
      <c r="H45" s="149">
        <f t="shared" si="26"/>
        <v>138.9</v>
      </c>
      <c r="I45" s="149">
        <f t="shared" si="26"/>
        <v>163</v>
      </c>
      <c r="J45" s="146"/>
      <c r="K45" s="145"/>
      <c r="L45" s="144"/>
      <c r="M45" s="153">
        <f t="shared" si="21"/>
        <v>944.25314647389882</v>
      </c>
      <c r="N45" s="147">
        <v>8.0208999999999993</v>
      </c>
      <c r="O45" s="148">
        <f t="shared" si="13"/>
        <v>0.7222336756220531</v>
      </c>
      <c r="P45" s="146">
        <f t="shared" si="14"/>
        <v>5.4333333333333336</v>
      </c>
      <c r="Q45" s="144">
        <f>COUNTIFS('Daily KPI'!$D:$D,D45,'Daily KPI'!$O:$O,"&gt;0")</f>
        <v>0</v>
      </c>
      <c r="R45" s="147">
        <f t="shared" si="15"/>
        <v>0</v>
      </c>
      <c r="S45" s="147">
        <f>SUMIF($F$2:F45,F45,$R$2:R45)</f>
        <v>0</v>
      </c>
      <c r="T45" s="146">
        <f t="shared" si="16"/>
        <v>31.475104882463295</v>
      </c>
      <c r="U45" s="147">
        <f t="shared" si="17"/>
        <v>0</v>
      </c>
      <c r="V45" s="147">
        <f>SUMIF($F$2:F45,F45,$U$2:U45)</f>
        <v>0</v>
      </c>
      <c r="W45" s="148">
        <f t="shared" si="18"/>
        <v>0.1635056793422148</v>
      </c>
      <c r="X45" s="148" t="str">
        <f t="shared" si="27"/>
        <v/>
      </c>
      <c r="Y45" s="148" t="str">
        <f t="shared" si="9"/>
        <v/>
      </c>
      <c r="Z45" s="146" t="str">
        <f>IFERROR(AVERAGEIF('Daily KPI'!$D:$D,Table14[[#This Row],[Month]],'Daily KPI'!$AB:$AB),"")</f>
        <v/>
      </c>
      <c r="AA45" s="149">
        <f>IFERROR(AVERAGEIF($F$2:F45,F45,$N$2:N45),"")</f>
        <v>8.0208999999999993</v>
      </c>
      <c r="AB45" s="147"/>
      <c r="AC45" s="146"/>
      <c r="AD45" s="146"/>
      <c r="AE45" s="148">
        <v>0.98040000000000005</v>
      </c>
      <c r="AF45" s="148">
        <v>0.98</v>
      </c>
      <c r="AG45" s="148"/>
      <c r="AH45" s="148"/>
      <c r="AI45" s="148"/>
      <c r="AJ45" s="148"/>
      <c r="AK45" s="148"/>
      <c r="AL45" s="148"/>
      <c r="AM45" s="172"/>
      <c r="AN45" s="172"/>
    </row>
    <row r="46" spans="1:40" x14ac:dyDescent="0.3">
      <c r="A46" s="140">
        <f t="shared" si="10"/>
        <v>45</v>
      </c>
      <c r="B46" s="141" t="str">
        <f t="shared" si="25"/>
        <v>December</v>
      </c>
      <c r="C46" s="141">
        <f t="shared" si="25"/>
        <v>12</v>
      </c>
      <c r="D46" s="142">
        <v>44531</v>
      </c>
      <c r="E46" s="143">
        <f t="shared" si="24"/>
        <v>2021</v>
      </c>
      <c r="F46" s="143" t="s">
        <v>1178</v>
      </c>
      <c r="G46" s="144">
        <f t="shared" si="23"/>
        <v>31</v>
      </c>
      <c r="H46" s="149">
        <f t="shared" si="26"/>
        <v>134.69999999999999</v>
      </c>
      <c r="I46" s="149">
        <f t="shared" si="26"/>
        <v>163.69999999999999</v>
      </c>
      <c r="J46" s="146"/>
      <c r="K46" s="145"/>
      <c r="L46" s="144"/>
      <c r="M46" s="153">
        <f t="shared" si="21"/>
        <v>981.38669717792857</v>
      </c>
      <c r="N46" s="147">
        <v>8.0208999999999993</v>
      </c>
      <c r="O46" s="148">
        <f t="shared" si="13"/>
        <v>0.74742631726929265</v>
      </c>
      <c r="P46" s="146">
        <f t="shared" si="14"/>
        <v>5.2806451612903222</v>
      </c>
      <c r="Q46" s="144">
        <f>COUNTIFS('Daily KPI'!$D:$D,D46,'Daily KPI'!$O:$O,"&gt;0")</f>
        <v>0</v>
      </c>
      <c r="R46" s="147">
        <f t="shared" si="15"/>
        <v>0</v>
      </c>
      <c r="S46" s="147">
        <f>SUMIF($F$2:F46,F46,$R$2:R46)</f>
        <v>0</v>
      </c>
      <c r="T46" s="146">
        <f t="shared" si="16"/>
        <v>31.657635392836404</v>
      </c>
      <c r="U46" s="147">
        <f t="shared" si="17"/>
        <v>0</v>
      </c>
      <c r="V46" s="147">
        <f>SUMIF($F$2:F46,F46,$U$2:U46)</f>
        <v>0</v>
      </c>
      <c r="W46" s="148">
        <f t="shared" si="18"/>
        <v>0.16445388190454732</v>
      </c>
      <c r="X46" s="148" t="str">
        <f t="shared" si="27"/>
        <v/>
      </c>
      <c r="Y46" s="148" t="str">
        <f t="shared" si="9"/>
        <v/>
      </c>
      <c r="Z46" s="146" t="str">
        <f>IFERROR(AVERAGEIF('Daily KPI'!$D:$D,Table14[[#This Row],[Month]],'Daily KPI'!$AB:$AB),"")</f>
        <v/>
      </c>
      <c r="AA46" s="149">
        <f>IFERROR(AVERAGEIF($F$2:F46,F46,$N$2:N46),"")</f>
        <v>8.0208999999999993</v>
      </c>
      <c r="AB46" s="147"/>
      <c r="AC46" s="146"/>
      <c r="AD46" s="146"/>
      <c r="AE46" s="148">
        <v>0.98040000000000005</v>
      </c>
      <c r="AF46" s="148">
        <v>0.98</v>
      </c>
      <c r="AG46" s="148"/>
      <c r="AH46" s="148"/>
      <c r="AI46" s="148"/>
      <c r="AJ46" s="148"/>
      <c r="AK46" s="148"/>
      <c r="AL46" s="148"/>
      <c r="AM46" s="172"/>
      <c r="AN46" s="172"/>
    </row>
    <row r="47" spans="1:40" x14ac:dyDescent="0.3">
      <c r="A47" s="140">
        <f t="shared" si="10"/>
        <v>46</v>
      </c>
      <c r="B47" s="141" t="str">
        <f t="shared" ref="B47:C62" si="28">B35</f>
        <v>January</v>
      </c>
      <c r="C47" s="141">
        <f t="shared" si="28"/>
        <v>1</v>
      </c>
      <c r="D47" s="142">
        <v>44562</v>
      </c>
      <c r="E47" s="143">
        <f t="shared" si="24"/>
        <v>2022</v>
      </c>
      <c r="F47" s="143" t="s">
        <v>1178</v>
      </c>
      <c r="G47" s="144">
        <f t="shared" si="23"/>
        <v>31</v>
      </c>
      <c r="H47" s="149">
        <f t="shared" ref="H47:I62" si="29">H35</f>
        <v>151.6</v>
      </c>
      <c r="I47" s="149">
        <f t="shared" si="29"/>
        <v>183.9</v>
      </c>
      <c r="J47" s="146"/>
      <c r="K47" s="145"/>
      <c r="L47" s="144"/>
      <c r="M47" s="153">
        <f t="shared" si="21"/>
        <v>1087.4825563322993</v>
      </c>
      <c r="N47" s="147">
        <v>8.0208999999999993</v>
      </c>
      <c r="O47" s="148">
        <f t="shared" si="13"/>
        <v>0.73725456161784642</v>
      </c>
      <c r="P47" s="146">
        <f t="shared" si="14"/>
        <v>5.9322580645161294</v>
      </c>
      <c r="Q47" s="144">
        <f>COUNTIFS('Daily KPI'!$D:$D,D47,'Daily KPI'!$O:$O,"&gt;0")</f>
        <v>0</v>
      </c>
      <c r="R47" s="147">
        <f t="shared" si="15"/>
        <v>0</v>
      </c>
      <c r="S47" s="147">
        <f>SUMIF($F$2:F47,F47,$R$2:R47)</f>
        <v>0</v>
      </c>
      <c r="T47" s="146">
        <f t="shared" si="16"/>
        <v>35.080082462332236</v>
      </c>
      <c r="U47" s="147">
        <f t="shared" si="17"/>
        <v>0</v>
      </c>
      <c r="V47" s="147">
        <f>SUMIF($F$2:F47,F47,$U$2:U47)</f>
        <v>0</v>
      </c>
      <c r="W47" s="148">
        <f t="shared" si="18"/>
        <v>0.18223267994828218</v>
      </c>
      <c r="X47" s="148" t="str">
        <f t="shared" si="27"/>
        <v/>
      </c>
      <c r="Y47" s="148" t="str">
        <f t="shared" si="9"/>
        <v/>
      </c>
      <c r="Z47" s="146" t="str">
        <f>IFERROR(AVERAGEIF('Daily KPI'!$D:$D,Table14[[#This Row],[Month]],'Daily KPI'!$AB:$AB),"")</f>
        <v/>
      </c>
      <c r="AA47" s="149">
        <f>IFERROR(AVERAGEIF($F$2:F47,F47,$N$2:N47),"")</f>
        <v>8.0208999999999993</v>
      </c>
      <c r="AB47" s="147"/>
      <c r="AC47" s="146"/>
      <c r="AD47" s="146"/>
      <c r="AE47" s="148">
        <v>0.98040000000000005</v>
      </c>
      <c r="AF47" s="148">
        <v>0.98</v>
      </c>
      <c r="AG47" s="148"/>
      <c r="AH47" s="148"/>
      <c r="AI47" s="148"/>
      <c r="AJ47" s="148"/>
      <c r="AK47" s="148"/>
      <c r="AL47" s="148"/>
      <c r="AM47" s="172"/>
      <c r="AN47" s="172"/>
    </row>
    <row r="48" spans="1:40" x14ac:dyDescent="0.3">
      <c r="A48" s="140">
        <f t="shared" si="10"/>
        <v>47</v>
      </c>
      <c r="B48" s="141" t="str">
        <f t="shared" si="28"/>
        <v>February</v>
      </c>
      <c r="C48" s="141">
        <f t="shared" si="28"/>
        <v>2</v>
      </c>
      <c r="D48" s="142">
        <v>44593</v>
      </c>
      <c r="E48" s="143">
        <f t="shared" si="24"/>
        <v>2022</v>
      </c>
      <c r="F48" s="143" t="s">
        <v>1178</v>
      </c>
      <c r="G48" s="144">
        <f t="shared" si="23"/>
        <v>28</v>
      </c>
      <c r="H48" s="149">
        <f t="shared" si="29"/>
        <v>159.9</v>
      </c>
      <c r="I48" s="149">
        <f t="shared" si="29"/>
        <v>184</v>
      </c>
      <c r="J48" s="146"/>
      <c r="K48" s="145"/>
      <c r="L48" s="144"/>
      <c r="M48" s="153">
        <f t="shared" si="21"/>
        <v>1038.6058690088</v>
      </c>
      <c r="N48" s="147">
        <v>8.0208999999999993</v>
      </c>
      <c r="O48" s="148">
        <f t="shared" si="13"/>
        <v>0.70373612863622048</v>
      </c>
      <c r="P48" s="146">
        <f t="shared" si="14"/>
        <v>6.5714285714285712</v>
      </c>
      <c r="Q48" s="144">
        <f>COUNTIFS('Daily KPI'!$D:$D,D48,'Daily KPI'!$O:$O,"&gt;0")</f>
        <v>0</v>
      </c>
      <c r="R48" s="147">
        <f t="shared" si="15"/>
        <v>0</v>
      </c>
      <c r="S48" s="147">
        <f>SUMIF($F$2:F48,F48,$R$2:R48)</f>
        <v>0</v>
      </c>
      <c r="T48" s="146">
        <f t="shared" si="16"/>
        <v>37.093066750314286</v>
      </c>
      <c r="U48" s="147">
        <f t="shared" si="17"/>
        <v>0</v>
      </c>
      <c r="V48" s="147">
        <f>SUMIF($F$2:F48,F48,$U$2:U48)</f>
        <v>0</v>
      </c>
      <c r="W48" s="148">
        <f t="shared" si="18"/>
        <v>0.19268965426944132</v>
      </c>
      <c r="X48" s="148" t="str">
        <f t="shared" si="27"/>
        <v/>
      </c>
      <c r="Y48" s="148" t="str">
        <f t="shared" si="9"/>
        <v/>
      </c>
      <c r="Z48" s="146" t="str">
        <f>IFERROR(AVERAGEIF('Daily KPI'!$D:$D,Table14[[#This Row],[Month]],'Daily KPI'!$AB:$AB),"")</f>
        <v/>
      </c>
      <c r="AA48" s="149">
        <f>IFERROR(AVERAGEIF($F$2:F48,F48,$N$2:N48),"")</f>
        <v>8.0208999999999993</v>
      </c>
      <c r="AB48" s="147"/>
      <c r="AC48" s="146"/>
      <c r="AD48" s="146"/>
      <c r="AE48" s="148">
        <v>0.98040000000000005</v>
      </c>
      <c r="AF48" s="148">
        <v>0.98</v>
      </c>
      <c r="AG48" s="148"/>
      <c r="AH48" s="148"/>
      <c r="AI48" s="148"/>
      <c r="AJ48" s="148"/>
      <c r="AK48" s="148"/>
      <c r="AL48" s="148"/>
      <c r="AM48" s="172"/>
      <c r="AN48" s="172"/>
    </row>
    <row r="49" spans="1:40" x14ac:dyDescent="0.3">
      <c r="A49" s="140">
        <f t="shared" si="10"/>
        <v>48</v>
      </c>
      <c r="B49" s="141" t="str">
        <f t="shared" si="28"/>
        <v>March</v>
      </c>
      <c r="C49" s="141">
        <f t="shared" si="28"/>
        <v>3</v>
      </c>
      <c r="D49" s="142">
        <v>44621</v>
      </c>
      <c r="E49" s="143">
        <f t="shared" si="24"/>
        <v>2022</v>
      </c>
      <c r="F49" s="143" t="s">
        <v>1178</v>
      </c>
      <c r="G49" s="144">
        <f t="shared" si="23"/>
        <v>31</v>
      </c>
      <c r="H49" s="149">
        <f t="shared" si="29"/>
        <v>197.2</v>
      </c>
      <c r="I49" s="149">
        <f t="shared" si="29"/>
        <v>210.4</v>
      </c>
      <c r="J49" s="146"/>
      <c r="K49" s="145"/>
      <c r="L49" s="144"/>
      <c r="M49" s="153">
        <f t="shared" si="21"/>
        <v>1204.1880014021069</v>
      </c>
      <c r="N49" s="147">
        <v>8.0208999999999993</v>
      </c>
      <c r="O49" s="148">
        <f t="shared" si="13"/>
        <v>0.71355172148533519</v>
      </c>
      <c r="P49" s="146">
        <f t="shared" si="14"/>
        <v>6.7870967741935484</v>
      </c>
      <c r="Q49" s="144">
        <f>COUNTIFS('Daily KPI'!$D:$D,D49,'Daily KPI'!$O:$O,"&gt;0")</f>
        <v>0</v>
      </c>
      <c r="R49" s="147">
        <f t="shared" si="15"/>
        <v>0</v>
      </c>
      <c r="S49" s="147">
        <f>SUMIF($F$2:F97,F49,$R$2:R97)</f>
        <v>0</v>
      </c>
      <c r="T49" s="146">
        <f t="shared" si="16"/>
        <v>38.844774238777646</v>
      </c>
      <c r="U49" s="147">
        <f t="shared" si="17"/>
        <v>0</v>
      </c>
      <c r="V49" s="147">
        <f>SUMIF($F$2:F97,F49,$U$2:U97)</f>
        <v>0</v>
      </c>
      <c r="W49" s="148">
        <f t="shared" si="18"/>
        <v>0.20178935779639051</v>
      </c>
      <c r="X49" s="148" t="str">
        <f t="shared" si="27"/>
        <v/>
      </c>
      <c r="Y49" s="148" t="str">
        <f t="shared" si="9"/>
        <v/>
      </c>
      <c r="Z49" s="146" t="str">
        <f>IFERROR(AVERAGEIF('Daily KPI'!$D:$D,Table14[[#This Row],[Month]],'Daily KPI'!$AB:$AB),"")</f>
        <v/>
      </c>
      <c r="AA49" s="149">
        <f>IFERROR(AVERAGEIF($F$2:F97,F49,$N$2:N97),"")</f>
        <v>8.0208999999999993</v>
      </c>
      <c r="AB49" s="147"/>
      <c r="AC49" s="146"/>
      <c r="AD49" s="146"/>
      <c r="AE49" s="148">
        <v>0.98040000000000005</v>
      </c>
      <c r="AF49" s="148">
        <v>0.98</v>
      </c>
      <c r="AG49" s="148"/>
      <c r="AH49" s="148"/>
      <c r="AI49" s="148"/>
      <c r="AJ49" s="148"/>
      <c r="AK49" s="148"/>
      <c r="AL49" s="148"/>
      <c r="AM49" s="172"/>
      <c r="AN49" s="172"/>
    </row>
    <row r="50" spans="1:40" x14ac:dyDescent="0.3">
      <c r="A50" s="140">
        <f t="shared" si="10"/>
        <v>49</v>
      </c>
      <c r="B50" s="141" t="str">
        <f t="shared" si="28"/>
        <v>April</v>
      </c>
      <c r="C50" s="141">
        <f t="shared" si="28"/>
        <v>4</v>
      </c>
      <c r="D50" s="142">
        <v>44652</v>
      </c>
      <c r="E50" s="143">
        <f t="shared" si="24"/>
        <v>2022</v>
      </c>
      <c r="F50" s="143" t="s">
        <v>1179</v>
      </c>
      <c r="G50" s="144">
        <f t="shared" si="23"/>
        <v>30</v>
      </c>
      <c r="H50" s="149">
        <f t="shared" si="29"/>
        <v>193.6</v>
      </c>
      <c r="I50" s="149">
        <f t="shared" si="29"/>
        <v>191.7</v>
      </c>
      <c r="J50" s="146"/>
      <c r="K50" s="145"/>
      <c r="L50" s="144"/>
      <c r="M50" s="153">
        <f t="shared" si="21"/>
        <v>1055.6537985859879</v>
      </c>
      <c r="N50" s="147">
        <v>8.0208999999999993</v>
      </c>
      <c r="O50" s="148">
        <f t="shared" si="13"/>
        <v>0.68655652664663702</v>
      </c>
      <c r="P50" s="146">
        <f t="shared" si="14"/>
        <v>6.39</v>
      </c>
      <c r="Q50" s="144">
        <f>COUNTIFS('Daily KPI'!$D:$D,D50,'Daily KPI'!$O:$O,"&gt;0")</f>
        <v>0</v>
      </c>
      <c r="R50" s="147">
        <f t="shared" si="15"/>
        <v>0</v>
      </c>
      <c r="S50" s="147">
        <f>SUMIF($F$2:F50,F50,$R$2:R50)</f>
        <v>0</v>
      </c>
      <c r="T50" s="146">
        <f t="shared" si="16"/>
        <v>35.188459952866268</v>
      </c>
      <c r="U50" s="147">
        <f t="shared" si="17"/>
        <v>0</v>
      </c>
      <c r="V50" s="147">
        <f>SUMIF($F$2:F50,F50,$U$2:U50)</f>
        <v>0</v>
      </c>
      <c r="W50" s="148">
        <f t="shared" si="18"/>
        <v>0.18279567521966711</v>
      </c>
      <c r="X50" s="148" t="str">
        <f t="shared" si="27"/>
        <v/>
      </c>
      <c r="Y50" s="148" t="str">
        <f t="shared" si="9"/>
        <v/>
      </c>
      <c r="Z50" s="146" t="str">
        <f>IFERROR(AVERAGEIF('Daily KPI'!$D:$D,Table14[[#This Row],[Month]],'Daily KPI'!$AB:$AB),"")</f>
        <v/>
      </c>
      <c r="AA50" s="149">
        <f>IFERROR(AVERAGEIF($F$2:F50,F50,$N$2:N50),"")</f>
        <v>8.0208999999999993</v>
      </c>
      <c r="AB50" s="147"/>
      <c r="AC50" s="146"/>
      <c r="AD50" s="146"/>
      <c r="AE50" s="148">
        <v>0.98040000000000005</v>
      </c>
      <c r="AF50" s="148">
        <v>0.98</v>
      </c>
      <c r="AG50" s="148"/>
      <c r="AH50" s="148"/>
      <c r="AI50" s="148"/>
      <c r="AJ50" s="148"/>
      <c r="AK50" s="148"/>
      <c r="AL50" s="148"/>
      <c r="AM50" s="172"/>
      <c r="AN50" s="172"/>
    </row>
    <row r="51" spans="1:40" x14ac:dyDescent="0.3">
      <c r="A51" s="140">
        <f t="shared" si="10"/>
        <v>50</v>
      </c>
      <c r="B51" s="141" t="str">
        <f t="shared" si="28"/>
        <v>May</v>
      </c>
      <c r="C51" s="141">
        <f t="shared" si="28"/>
        <v>5</v>
      </c>
      <c r="D51" s="142">
        <v>44682</v>
      </c>
      <c r="E51" s="143">
        <f t="shared" si="24"/>
        <v>2022</v>
      </c>
      <c r="F51" s="143" t="s">
        <v>1179</v>
      </c>
      <c r="G51" s="144">
        <f t="shared" si="23"/>
        <v>31</v>
      </c>
      <c r="H51" s="149">
        <f t="shared" si="29"/>
        <v>198.6</v>
      </c>
      <c r="I51" s="149">
        <f t="shared" si="29"/>
        <v>186.4</v>
      </c>
      <c r="J51" s="146"/>
      <c r="K51" s="145"/>
      <c r="L51" s="144"/>
      <c r="M51" s="153">
        <f t="shared" si="21"/>
        <v>1060.9585915437065</v>
      </c>
      <c r="N51" s="147">
        <v>8.0208999999999993</v>
      </c>
      <c r="O51" s="148">
        <f t="shared" si="13"/>
        <v>0.70962584466409462</v>
      </c>
      <c r="P51" s="146">
        <f t="shared" si="14"/>
        <v>6.0129032258064514</v>
      </c>
      <c r="Q51" s="144">
        <f>COUNTIFS('Daily KPI'!$D:$D,D51,'Daily KPI'!$O:$O,"&gt;0")</f>
        <v>0</v>
      </c>
      <c r="R51" s="147">
        <f t="shared" si="15"/>
        <v>0</v>
      </c>
      <c r="S51" s="147">
        <f>SUMIF($F$2:F51,F51,$R$2:R51)</f>
        <v>0</v>
      </c>
      <c r="T51" s="146">
        <f t="shared" si="16"/>
        <v>34.224470694958271</v>
      </c>
      <c r="U51" s="147">
        <f t="shared" si="17"/>
        <v>0</v>
      </c>
      <c r="V51" s="147">
        <f>SUMIF($F$2:F51,F51,$U$2:U51)</f>
        <v>0</v>
      </c>
      <c r="W51" s="148">
        <f t="shared" si="18"/>
        <v>0.17778798043734842</v>
      </c>
      <c r="X51" s="148" t="str">
        <f t="shared" si="27"/>
        <v/>
      </c>
      <c r="Y51" s="148" t="str">
        <f t="shared" si="9"/>
        <v/>
      </c>
      <c r="Z51" s="146" t="str">
        <f>IFERROR(AVERAGEIF('Daily KPI'!$D:$D,Table14[[#This Row],[Month]],'Daily KPI'!$AB:$AB),"")</f>
        <v/>
      </c>
      <c r="AA51" s="149">
        <f>IFERROR(AVERAGEIF($F$2:F51,F51,$N$2:N51),"")</f>
        <v>8.0208999999999993</v>
      </c>
      <c r="AB51" s="147"/>
      <c r="AC51" s="146"/>
      <c r="AD51" s="146"/>
      <c r="AE51" s="148">
        <v>0.98040000000000005</v>
      </c>
      <c r="AF51" s="148">
        <v>0.98</v>
      </c>
      <c r="AG51" s="148"/>
      <c r="AH51" s="148"/>
      <c r="AI51" s="148"/>
      <c r="AJ51" s="148"/>
      <c r="AK51" s="148"/>
      <c r="AL51" s="148"/>
      <c r="AM51" s="172"/>
      <c r="AN51" s="172"/>
    </row>
    <row r="52" spans="1:40" x14ac:dyDescent="0.3">
      <c r="A52" s="140">
        <f t="shared" si="10"/>
        <v>51</v>
      </c>
      <c r="B52" s="141" t="str">
        <f t="shared" si="28"/>
        <v>June</v>
      </c>
      <c r="C52" s="141">
        <f t="shared" si="28"/>
        <v>6</v>
      </c>
      <c r="D52" s="142">
        <v>44713</v>
      </c>
      <c r="E52" s="143">
        <f t="shared" si="24"/>
        <v>2022</v>
      </c>
      <c r="F52" s="143" t="s">
        <v>1179</v>
      </c>
      <c r="G52" s="144">
        <f t="shared" si="23"/>
        <v>30</v>
      </c>
      <c r="H52" s="149">
        <f t="shared" si="29"/>
        <v>154.80000000000001</v>
      </c>
      <c r="I52" s="149">
        <f t="shared" si="29"/>
        <v>142.80000000000001</v>
      </c>
      <c r="J52" s="146"/>
      <c r="K52" s="145"/>
      <c r="L52" s="144"/>
      <c r="M52" s="153">
        <f t="shared" si="21"/>
        <v>790.41415070006133</v>
      </c>
      <c r="N52" s="147">
        <v>8.0208999999999993</v>
      </c>
      <c r="O52" s="148">
        <f t="shared" si="13"/>
        <v>0.6900862870925315</v>
      </c>
      <c r="P52" s="146">
        <f t="shared" si="14"/>
        <v>4.7600000000000007</v>
      </c>
      <c r="Q52" s="144">
        <f>COUNTIFS('Daily KPI'!$D:$D,D52,'Daily KPI'!$O:$O,"&gt;0")</f>
        <v>0</v>
      </c>
      <c r="R52" s="147">
        <f t="shared" si="15"/>
        <v>0</v>
      </c>
      <c r="S52" s="147">
        <f>SUMIF($F$2:F52,F52,$R$2:R52)</f>
        <v>0</v>
      </c>
      <c r="T52" s="146">
        <f t="shared" si="16"/>
        <v>26.347138356668712</v>
      </c>
      <c r="U52" s="147">
        <f t="shared" si="17"/>
        <v>0</v>
      </c>
      <c r="V52" s="147">
        <f>SUMIF($F$2:F52,F52,$U$2:U52)</f>
        <v>0</v>
      </c>
      <c r="W52" s="148">
        <f t="shared" si="18"/>
        <v>0.13686711360668541</v>
      </c>
      <c r="X52" s="148" t="str">
        <f t="shared" si="27"/>
        <v/>
      </c>
      <c r="Y52" s="148" t="str">
        <f t="shared" si="9"/>
        <v/>
      </c>
      <c r="Z52" s="146" t="str">
        <f>IFERROR(AVERAGEIF('Daily KPI'!$D:$D,Table14[[#This Row],[Month]],'Daily KPI'!$AB:$AB),"")</f>
        <v/>
      </c>
      <c r="AA52" s="149">
        <f>IFERROR(AVERAGEIF($F$2:F52,F52,$N$2:N52),"")</f>
        <v>8.0208999999999993</v>
      </c>
      <c r="AB52" s="147"/>
      <c r="AC52" s="146"/>
      <c r="AD52" s="146"/>
      <c r="AE52" s="148">
        <v>0.98040000000000005</v>
      </c>
      <c r="AF52" s="148">
        <v>0.98</v>
      </c>
      <c r="AG52" s="148"/>
      <c r="AH52" s="148"/>
      <c r="AI52" s="148"/>
      <c r="AJ52" s="148"/>
      <c r="AK52" s="148"/>
      <c r="AL52" s="148"/>
      <c r="AM52" s="172"/>
      <c r="AN52" s="172"/>
    </row>
    <row r="53" spans="1:40" x14ac:dyDescent="0.3">
      <c r="A53" s="140">
        <f t="shared" si="10"/>
        <v>52</v>
      </c>
      <c r="B53" s="141" t="str">
        <f t="shared" si="28"/>
        <v>July</v>
      </c>
      <c r="C53" s="141">
        <f t="shared" si="28"/>
        <v>7</v>
      </c>
      <c r="D53" s="142">
        <v>44743</v>
      </c>
      <c r="E53" s="143">
        <f t="shared" si="24"/>
        <v>2022</v>
      </c>
      <c r="F53" s="143" t="s">
        <v>1179</v>
      </c>
      <c r="G53" s="144">
        <f t="shared" si="23"/>
        <v>31</v>
      </c>
      <c r="H53" s="149">
        <f t="shared" si="29"/>
        <v>134.4</v>
      </c>
      <c r="I53" s="149">
        <f t="shared" si="29"/>
        <v>125.4</v>
      </c>
      <c r="J53" s="146"/>
      <c r="K53" s="145"/>
      <c r="L53" s="144"/>
      <c r="M53" s="153">
        <f t="shared" si="21"/>
        <v>721.45184224972047</v>
      </c>
      <c r="N53" s="147">
        <v>8.0208999999999993</v>
      </c>
      <c r="O53" s="148">
        <f t="shared" si="13"/>
        <v>0.71727667514245075</v>
      </c>
      <c r="P53" s="146">
        <f t="shared" si="14"/>
        <v>4.0451612903225804</v>
      </c>
      <c r="Q53" s="144">
        <f>COUNTIFS('Daily KPI'!$D:$D,D53,'Daily KPI'!$O:$O,"&gt;0")</f>
        <v>0</v>
      </c>
      <c r="R53" s="147">
        <f t="shared" si="15"/>
        <v>0</v>
      </c>
      <c r="S53" s="147">
        <f>SUMIF($F$2:F53,F53,$R$2:R53)</f>
        <v>0</v>
      </c>
      <c r="T53" s="146">
        <f t="shared" si="16"/>
        <v>23.27264007257163</v>
      </c>
      <c r="U53" s="147">
        <f t="shared" si="17"/>
        <v>0</v>
      </c>
      <c r="V53" s="147">
        <f>SUMIF($F$2:F53,F53,$U$2:U53)</f>
        <v>0</v>
      </c>
      <c r="W53" s="148">
        <f t="shared" si="18"/>
        <v>0.12089582669739696</v>
      </c>
      <c r="X53" s="148" t="str">
        <f t="shared" si="27"/>
        <v/>
      </c>
      <c r="Y53" s="148" t="str">
        <f t="shared" si="9"/>
        <v/>
      </c>
      <c r="Z53" s="146" t="str">
        <f>IFERROR(AVERAGEIF('Daily KPI'!$D:$D,Table14[[#This Row],[Month]],'Daily KPI'!$AB:$AB),"")</f>
        <v/>
      </c>
      <c r="AA53" s="149">
        <f>IFERROR(AVERAGEIF($F$2:F53,F53,$N$2:N53),"")</f>
        <v>8.0208999999999993</v>
      </c>
      <c r="AB53" s="147"/>
      <c r="AC53" s="146"/>
      <c r="AD53" s="146"/>
      <c r="AE53" s="148">
        <v>0.98040000000000005</v>
      </c>
      <c r="AF53" s="148">
        <v>0.98</v>
      </c>
      <c r="AG53" s="148"/>
      <c r="AH53" s="148"/>
      <c r="AI53" s="148"/>
      <c r="AJ53" s="148"/>
      <c r="AK53" s="148"/>
      <c r="AL53" s="148"/>
      <c r="AM53" s="172"/>
      <c r="AN53" s="172"/>
    </row>
    <row r="54" spans="1:40" x14ac:dyDescent="0.3">
      <c r="A54" s="140">
        <f t="shared" si="10"/>
        <v>53</v>
      </c>
      <c r="B54" s="141" t="str">
        <f t="shared" si="28"/>
        <v>August</v>
      </c>
      <c r="C54" s="141">
        <f t="shared" si="28"/>
        <v>8</v>
      </c>
      <c r="D54" s="142">
        <v>44774</v>
      </c>
      <c r="E54" s="143">
        <f t="shared" si="24"/>
        <v>2022</v>
      </c>
      <c r="F54" s="143" t="s">
        <v>1179</v>
      </c>
      <c r="G54" s="144">
        <f t="shared" si="23"/>
        <v>31</v>
      </c>
      <c r="H54" s="149">
        <f t="shared" si="29"/>
        <v>134.6</v>
      </c>
      <c r="I54" s="149">
        <f t="shared" si="29"/>
        <v>130.69999999999999</v>
      </c>
      <c r="J54" s="146"/>
      <c r="K54" s="145"/>
      <c r="L54" s="144"/>
      <c r="M54" s="153">
        <f t="shared" si="21"/>
        <v>763.89018591146873</v>
      </c>
      <c r="N54" s="147">
        <v>8.0208999999999993</v>
      </c>
      <c r="O54" s="148">
        <f t="shared" si="13"/>
        <v>0.72867226748797886</v>
      </c>
      <c r="P54" s="146">
        <f t="shared" si="14"/>
        <v>4.2161290322580642</v>
      </c>
      <c r="Q54" s="144">
        <f>COUNTIFS('Daily KPI'!$D:$D,D54,'Daily KPI'!$O:$O,"&gt;0")</f>
        <v>0</v>
      </c>
      <c r="R54" s="147">
        <f t="shared" si="15"/>
        <v>0</v>
      </c>
      <c r="S54" s="147">
        <f>SUMIF($F$2:F54,F54,$R$2:R54)</f>
        <v>0</v>
      </c>
      <c r="T54" s="146">
        <f t="shared" si="16"/>
        <v>24.641618900369959</v>
      </c>
      <c r="U54" s="147">
        <f t="shared" si="17"/>
        <v>0</v>
      </c>
      <c r="V54" s="147">
        <f>SUMIF($F$2:F54,F54,$U$2:U54)</f>
        <v>0</v>
      </c>
      <c r="W54" s="148">
        <f t="shared" si="18"/>
        <v>0.12800734591489088</v>
      </c>
      <c r="X54" s="148" t="str">
        <f t="shared" si="27"/>
        <v/>
      </c>
      <c r="Y54" s="148" t="str">
        <f t="shared" si="9"/>
        <v/>
      </c>
      <c r="Z54" s="146" t="str">
        <f>IFERROR(AVERAGEIF('Daily KPI'!$D:$D,Table14[[#This Row],[Month]],'Daily KPI'!$AB:$AB),"")</f>
        <v/>
      </c>
      <c r="AA54" s="149">
        <f>IFERROR(AVERAGEIF($F$2:F54,F54,$N$2:N54),"")</f>
        <v>8.0208999999999993</v>
      </c>
      <c r="AB54" s="147"/>
      <c r="AC54" s="146"/>
      <c r="AD54" s="146"/>
      <c r="AE54" s="148">
        <v>0.98040000000000005</v>
      </c>
      <c r="AF54" s="148">
        <v>0.98</v>
      </c>
      <c r="AG54" s="148"/>
      <c r="AH54" s="148"/>
      <c r="AI54" s="148"/>
      <c r="AJ54" s="148"/>
      <c r="AK54" s="148"/>
      <c r="AL54" s="148"/>
      <c r="AM54" s="172"/>
      <c r="AN54" s="172"/>
    </row>
    <row r="55" spans="1:40" x14ac:dyDescent="0.3">
      <c r="A55" s="140">
        <f t="shared" si="10"/>
        <v>54</v>
      </c>
      <c r="B55" s="141" t="str">
        <f t="shared" si="28"/>
        <v>September</v>
      </c>
      <c r="C55" s="141">
        <f t="shared" si="28"/>
        <v>9</v>
      </c>
      <c r="D55" s="142">
        <v>44805</v>
      </c>
      <c r="E55" s="143">
        <f t="shared" si="24"/>
        <v>2022</v>
      </c>
      <c r="F55" s="143" t="s">
        <v>1179</v>
      </c>
      <c r="G55" s="144">
        <f t="shared" si="23"/>
        <v>30</v>
      </c>
      <c r="H55" s="149">
        <f t="shared" si="29"/>
        <v>142.5</v>
      </c>
      <c r="I55" s="149">
        <f t="shared" si="29"/>
        <v>145.4</v>
      </c>
      <c r="J55" s="146"/>
      <c r="K55" s="145"/>
      <c r="L55" s="144"/>
      <c r="M55" s="153">
        <f t="shared" si="21"/>
        <v>827.54770140409107</v>
      </c>
      <c r="N55" s="147">
        <v>8.0208999999999993</v>
      </c>
      <c r="O55" s="148">
        <f t="shared" si="13"/>
        <v>0.70958680060111445</v>
      </c>
      <c r="P55" s="146">
        <f t="shared" si="14"/>
        <v>4.8466666666666667</v>
      </c>
      <c r="Q55" s="144">
        <f>COUNTIFS('Daily KPI'!$D:$D,D55,'Daily KPI'!$O:$O,"&gt;0")</f>
        <v>0</v>
      </c>
      <c r="R55" s="147">
        <f t="shared" si="15"/>
        <v>0</v>
      </c>
      <c r="S55" s="147">
        <f>SUMIF($F$2:F55,F55,$R$2:R55)</f>
        <v>0</v>
      </c>
      <c r="T55" s="146">
        <f t="shared" si="16"/>
        <v>27.58492338013637</v>
      </c>
      <c r="U55" s="147">
        <f t="shared" si="17"/>
        <v>0</v>
      </c>
      <c r="V55" s="147">
        <f>SUMIF($F$2:F55,F55,$U$2:U55)</f>
        <v>0</v>
      </c>
      <c r="W55" s="148">
        <f t="shared" si="18"/>
        <v>0.14329711223250285</v>
      </c>
      <c r="X55" s="148" t="str">
        <f t="shared" si="27"/>
        <v/>
      </c>
      <c r="Y55" s="148" t="str">
        <f t="shared" si="9"/>
        <v/>
      </c>
      <c r="Z55" s="146" t="str">
        <f>IFERROR(AVERAGEIF('Daily KPI'!$D:$D,Table14[[#This Row],[Month]],'Daily KPI'!$AB:$AB),"")</f>
        <v/>
      </c>
      <c r="AA55" s="149">
        <f>IFERROR(AVERAGEIF($F$2:F55,F55,$N$2:N55),"")</f>
        <v>8.0208999999999993</v>
      </c>
      <c r="AB55" s="147"/>
      <c r="AC55" s="146"/>
      <c r="AD55" s="146"/>
      <c r="AE55" s="148">
        <v>0.98040000000000005</v>
      </c>
      <c r="AF55" s="148">
        <v>0.98</v>
      </c>
      <c r="AG55" s="148"/>
      <c r="AH55" s="148"/>
      <c r="AI55" s="148"/>
      <c r="AJ55" s="148"/>
      <c r="AK55" s="148"/>
      <c r="AL55" s="148"/>
      <c r="AM55" s="172"/>
      <c r="AN55" s="172"/>
    </row>
    <row r="56" spans="1:40" x14ac:dyDescent="0.3">
      <c r="A56" s="140">
        <f t="shared" si="10"/>
        <v>55</v>
      </c>
      <c r="B56" s="141" t="str">
        <f t="shared" si="28"/>
        <v>October</v>
      </c>
      <c r="C56" s="141">
        <f t="shared" si="28"/>
        <v>10</v>
      </c>
      <c r="D56" s="142">
        <v>44835</v>
      </c>
      <c r="E56" s="143">
        <f t="shared" si="24"/>
        <v>2022</v>
      </c>
      <c r="F56" s="143" t="s">
        <v>1179</v>
      </c>
      <c r="G56" s="144">
        <f t="shared" si="23"/>
        <v>31</v>
      </c>
      <c r="H56" s="149">
        <f t="shared" si="29"/>
        <v>145.69999999999999</v>
      </c>
      <c r="I56" s="149">
        <f t="shared" si="29"/>
        <v>158.80000000000001</v>
      </c>
      <c r="J56" s="146"/>
      <c r="K56" s="145"/>
      <c r="L56" s="144"/>
      <c r="M56" s="153">
        <f t="shared" si="21"/>
        <v>938.9483535161803</v>
      </c>
      <c r="N56" s="147">
        <v>8.0208999999999993</v>
      </c>
      <c r="O56" s="148">
        <f t="shared" si="13"/>
        <v>0.73717076724916697</v>
      </c>
      <c r="P56" s="146">
        <f t="shared" si="14"/>
        <v>5.1225806451612907</v>
      </c>
      <c r="Q56" s="144">
        <f>COUNTIFS('Daily KPI'!$D:$D,D56,'Daily KPI'!$O:$O,"&gt;0")</f>
        <v>0</v>
      </c>
      <c r="R56" s="147">
        <f t="shared" si="15"/>
        <v>0</v>
      </c>
      <c r="S56" s="147">
        <f>SUMIF($F$2:F56,F56,$R$2:R56)</f>
        <v>0</v>
      </c>
      <c r="T56" s="146">
        <f t="shared" si="16"/>
        <v>30.288656565038075</v>
      </c>
      <c r="U56" s="147">
        <f t="shared" si="17"/>
        <v>0</v>
      </c>
      <c r="V56" s="147">
        <f>SUMIF($F$2:F56,F56,$U$2:U56)</f>
        <v>0</v>
      </c>
      <c r="W56" s="148">
        <f t="shared" si="18"/>
        <v>0.15734236268705337</v>
      </c>
      <c r="X56" s="148" t="str">
        <f t="shared" si="27"/>
        <v/>
      </c>
      <c r="Y56" s="148" t="str">
        <f t="shared" si="9"/>
        <v/>
      </c>
      <c r="Z56" s="146" t="str">
        <f>IFERROR(AVERAGEIF('Daily KPI'!$D:$D,Table14[[#This Row],[Month]],'Daily KPI'!$AB:$AB),"")</f>
        <v/>
      </c>
      <c r="AA56" s="149">
        <f>IFERROR(AVERAGEIF($F$2:F56,F56,$N$2:N56),"")</f>
        <v>8.0208999999999993</v>
      </c>
      <c r="AB56" s="147"/>
      <c r="AC56" s="146"/>
      <c r="AD56" s="146"/>
      <c r="AE56" s="148">
        <v>0.98040000000000005</v>
      </c>
      <c r="AF56" s="148">
        <v>0.98</v>
      </c>
      <c r="AG56" s="148"/>
      <c r="AH56" s="148"/>
      <c r="AI56" s="148"/>
      <c r="AJ56" s="148"/>
      <c r="AK56" s="148"/>
      <c r="AL56" s="148"/>
      <c r="AM56" s="172"/>
      <c r="AN56" s="172"/>
    </row>
    <row r="57" spans="1:40" x14ac:dyDescent="0.3">
      <c r="A57" s="140">
        <f t="shared" si="10"/>
        <v>56</v>
      </c>
      <c r="B57" s="141" t="str">
        <f t="shared" si="28"/>
        <v>November</v>
      </c>
      <c r="C57" s="141">
        <f t="shared" si="28"/>
        <v>11</v>
      </c>
      <c r="D57" s="142">
        <v>44866</v>
      </c>
      <c r="E57" s="143">
        <f t="shared" si="24"/>
        <v>2022</v>
      </c>
      <c r="F57" s="143" t="s">
        <v>1179</v>
      </c>
      <c r="G57" s="144">
        <f t="shared" si="23"/>
        <v>30</v>
      </c>
      <c r="H57" s="149">
        <f t="shared" si="29"/>
        <v>138.9</v>
      </c>
      <c r="I57" s="149">
        <f t="shared" si="29"/>
        <v>163</v>
      </c>
      <c r="J57" s="146"/>
      <c r="K57" s="145"/>
      <c r="L57" s="144"/>
      <c r="M57" s="153">
        <f t="shared" si="21"/>
        <v>944.25314647389882</v>
      </c>
      <c r="N57" s="147">
        <v>8.0208999999999993</v>
      </c>
      <c r="O57" s="148">
        <f t="shared" si="13"/>
        <v>0.7222336756220531</v>
      </c>
      <c r="P57" s="146">
        <f t="shared" si="14"/>
        <v>5.4333333333333336</v>
      </c>
      <c r="Q57" s="144">
        <f>COUNTIFS('Daily KPI'!$D:$D,D57,'Daily KPI'!$O:$O,"&gt;0")</f>
        <v>0</v>
      </c>
      <c r="R57" s="147">
        <f t="shared" si="15"/>
        <v>0</v>
      </c>
      <c r="S57" s="147">
        <f>SUMIF($F$2:F57,F57,$R$2:R57)</f>
        <v>0</v>
      </c>
      <c r="T57" s="146">
        <f t="shared" si="16"/>
        <v>31.475104882463295</v>
      </c>
      <c r="U57" s="147">
        <f t="shared" si="17"/>
        <v>0</v>
      </c>
      <c r="V57" s="147">
        <f>SUMIF($F$2:F57,F57,$U$2:U57)</f>
        <v>0</v>
      </c>
      <c r="W57" s="148">
        <f t="shared" si="18"/>
        <v>0.1635056793422148</v>
      </c>
      <c r="X57" s="148" t="str">
        <f t="shared" si="27"/>
        <v/>
      </c>
      <c r="Y57" s="148" t="str">
        <f t="shared" si="9"/>
        <v/>
      </c>
      <c r="Z57" s="146" t="str">
        <f>IFERROR(AVERAGEIF('Daily KPI'!$D:$D,Table14[[#This Row],[Month]],'Daily KPI'!$AB:$AB),"")</f>
        <v/>
      </c>
      <c r="AA57" s="149">
        <f>IFERROR(AVERAGEIF($F$2:F57,F57,$N$2:N57),"")</f>
        <v>8.0208999999999993</v>
      </c>
      <c r="AB57" s="147"/>
      <c r="AC57" s="146"/>
      <c r="AD57" s="146"/>
      <c r="AE57" s="148">
        <v>0.98040000000000005</v>
      </c>
      <c r="AF57" s="148">
        <v>0.98</v>
      </c>
      <c r="AG57" s="148"/>
      <c r="AH57" s="148"/>
      <c r="AI57" s="148"/>
      <c r="AJ57" s="148"/>
      <c r="AK57" s="148"/>
      <c r="AL57" s="148"/>
      <c r="AM57" s="172"/>
      <c r="AN57" s="172"/>
    </row>
    <row r="58" spans="1:40" x14ac:dyDescent="0.3">
      <c r="A58" s="140">
        <f t="shared" si="10"/>
        <v>57</v>
      </c>
      <c r="B58" s="141" t="str">
        <f t="shared" si="28"/>
        <v>December</v>
      </c>
      <c r="C58" s="141">
        <f t="shared" si="28"/>
        <v>12</v>
      </c>
      <c r="D58" s="142">
        <v>44896</v>
      </c>
      <c r="E58" s="143">
        <f t="shared" si="24"/>
        <v>2022</v>
      </c>
      <c r="F58" s="143" t="s">
        <v>1179</v>
      </c>
      <c r="G58" s="144">
        <f t="shared" si="23"/>
        <v>31</v>
      </c>
      <c r="H58" s="149">
        <f t="shared" si="29"/>
        <v>134.69999999999999</v>
      </c>
      <c r="I58" s="149">
        <f t="shared" si="29"/>
        <v>163.69999999999999</v>
      </c>
      <c r="J58" s="146"/>
      <c r="K58" s="145"/>
      <c r="L58" s="144"/>
      <c r="M58" s="153">
        <f t="shared" si="21"/>
        <v>981.38669717792857</v>
      </c>
      <c r="N58" s="147">
        <v>8.0208999999999993</v>
      </c>
      <c r="O58" s="148">
        <f t="shared" si="13"/>
        <v>0.74742631726929265</v>
      </c>
      <c r="P58" s="146">
        <f t="shared" si="14"/>
        <v>5.2806451612903222</v>
      </c>
      <c r="Q58" s="144">
        <f>COUNTIFS('Daily KPI'!$D:$D,D58,'Daily KPI'!$O:$O,"&gt;0")</f>
        <v>0</v>
      </c>
      <c r="R58" s="147">
        <f t="shared" si="15"/>
        <v>0</v>
      </c>
      <c r="S58" s="147">
        <f>SUMIF($F$2:F58,F58,$R$2:R58)</f>
        <v>0</v>
      </c>
      <c r="T58" s="146">
        <f t="shared" si="16"/>
        <v>31.657635392836404</v>
      </c>
      <c r="U58" s="147">
        <f t="shared" si="17"/>
        <v>0</v>
      </c>
      <c r="V58" s="147">
        <f>SUMIF($F$2:F58,F58,$U$2:U58)</f>
        <v>0</v>
      </c>
      <c r="W58" s="148">
        <f t="shared" si="18"/>
        <v>0.16445388190454732</v>
      </c>
      <c r="X58" s="148" t="str">
        <f t="shared" si="27"/>
        <v/>
      </c>
      <c r="Y58" s="148" t="str">
        <f t="shared" si="9"/>
        <v/>
      </c>
      <c r="Z58" s="146" t="str">
        <f>IFERROR(AVERAGEIF('Daily KPI'!$D:$D,Table14[[#This Row],[Month]],'Daily KPI'!$AB:$AB),"")</f>
        <v/>
      </c>
      <c r="AA58" s="149">
        <f>IFERROR(AVERAGEIF($F$2:F58,F58,$N$2:N58),"")</f>
        <v>8.0208999999999993</v>
      </c>
      <c r="AB58" s="147"/>
      <c r="AC58" s="146"/>
      <c r="AD58" s="146"/>
      <c r="AE58" s="148">
        <v>0.98040000000000005</v>
      </c>
      <c r="AF58" s="148">
        <v>0.98</v>
      </c>
      <c r="AG58" s="148"/>
      <c r="AH58" s="148"/>
      <c r="AI58" s="148"/>
      <c r="AJ58" s="148"/>
      <c r="AK58" s="148"/>
      <c r="AL58" s="148"/>
      <c r="AM58" s="172"/>
      <c r="AN58" s="172"/>
    </row>
    <row r="59" spans="1:40" x14ac:dyDescent="0.3">
      <c r="A59" s="140">
        <f t="shared" si="10"/>
        <v>58</v>
      </c>
      <c r="B59" s="141" t="str">
        <f t="shared" si="28"/>
        <v>January</v>
      </c>
      <c r="C59" s="141">
        <f t="shared" si="28"/>
        <v>1</v>
      </c>
      <c r="D59" s="142">
        <v>44927</v>
      </c>
      <c r="E59" s="143">
        <f t="shared" si="24"/>
        <v>2023</v>
      </c>
      <c r="F59" s="143" t="s">
        <v>1179</v>
      </c>
      <c r="G59" s="144">
        <f t="shared" si="23"/>
        <v>31</v>
      </c>
      <c r="H59" s="149">
        <f t="shared" si="29"/>
        <v>151.6</v>
      </c>
      <c r="I59" s="149">
        <f t="shared" si="29"/>
        <v>183.9</v>
      </c>
      <c r="J59" s="146"/>
      <c r="K59" s="145"/>
      <c r="L59" s="144"/>
      <c r="M59" s="153">
        <f t="shared" si="21"/>
        <v>1087.4825563322993</v>
      </c>
      <c r="N59" s="147">
        <v>8.0208999999999993</v>
      </c>
      <c r="O59" s="148">
        <f t="shared" si="13"/>
        <v>0.73725456161784642</v>
      </c>
      <c r="P59" s="146">
        <f t="shared" si="14"/>
        <v>5.9322580645161294</v>
      </c>
      <c r="Q59" s="144">
        <f>COUNTIFS('Daily KPI'!$D:$D,D59,'Daily KPI'!$O:$O,"&gt;0")</f>
        <v>0</v>
      </c>
      <c r="R59" s="147">
        <f t="shared" si="15"/>
        <v>0</v>
      </c>
      <c r="S59" s="147">
        <f>SUMIF($F$2:F59,F59,$R$2:R59)</f>
        <v>0</v>
      </c>
      <c r="T59" s="146">
        <f t="shared" si="16"/>
        <v>35.080082462332236</v>
      </c>
      <c r="U59" s="147">
        <f t="shared" si="17"/>
        <v>0</v>
      </c>
      <c r="V59" s="147">
        <f>SUMIF($F$2:F59,F59,$U$2:U59)</f>
        <v>0</v>
      </c>
      <c r="W59" s="148">
        <f t="shared" si="18"/>
        <v>0.18223267994828218</v>
      </c>
      <c r="X59" s="148" t="str">
        <f t="shared" si="27"/>
        <v/>
      </c>
      <c r="Y59" s="148" t="str">
        <f t="shared" si="9"/>
        <v/>
      </c>
      <c r="Z59" s="146" t="str">
        <f>IFERROR(AVERAGEIF('Daily KPI'!$D:$D,Table14[[#This Row],[Month]],'Daily KPI'!$AB:$AB),"")</f>
        <v/>
      </c>
      <c r="AA59" s="149">
        <f>IFERROR(AVERAGEIF($F$2:F59,F59,$N$2:N59),"")</f>
        <v>8.0208999999999993</v>
      </c>
      <c r="AB59" s="147"/>
      <c r="AC59" s="146"/>
      <c r="AD59" s="146"/>
      <c r="AE59" s="148">
        <v>0.98040000000000005</v>
      </c>
      <c r="AF59" s="148">
        <v>0.98</v>
      </c>
      <c r="AG59" s="148"/>
      <c r="AH59" s="148"/>
      <c r="AI59" s="148"/>
      <c r="AJ59" s="148"/>
      <c r="AK59" s="148"/>
      <c r="AL59" s="148"/>
      <c r="AM59" s="172"/>
      <c r="AN59" s="172"/>
    </row>
    <row r="60" spans="1:40" x14ac:dyDescent="0.3">
      <c r="A60" s="140">
        <f t="shared" si="10"/>
        <v>59</v>
      </c>
      <c r="B60" s="141" t="str">
        <f t="shared" si="28"/>
        <v>February</v>
      </c>
      <c r="C60" s="141">
        <f t="shared" si="28"/>
        <v>2</v>
      </c>
      <c r="D60" s="142">
        <v>44958</v>
      </c>
      <c r="E60" s="143">
        <f t="shared" si="24"/>
        <v>2023</v>
      </c>
      <c r="F60" s="143" t="s">
        <v>1179</v>
      </c>
      <c r="G60" s="144">
        <f t="shared" si="23"/>
        <v>28</v>
      </c>
      <c r="H60" s="149">
        <f t="shared" si="29"/>
        <v>159.9</v>
      </c>
      <c r="I60" s="149">
        <f t="shared" si="29"/>
        <v>184</v>
      </c>
      <c r="J60" s="146"/>
      <c r="K60" s="145"/>
      <c r="L60" s="144"/>
      <c r="M60" s="153">
        <f t="shared" si="21"/>
        <v>1038.6058690088</v>
      </c>
      <c r="N60" s="147">
        <v>8.0208999999999993</v>
      </c>
      <c r="O60" s="148">
        <f t="shared" si="13"/>
        <v>0.70373612863622048</v>
      </c>
      <c r="P60" s="146">
        <f t="shared" si="14"/>
        <v>6.5714285714285712</v>
      </c>
      <c r="Q60" s="144">
        <f>COUNTIFS('Daily KPI'!$D:$D,D60,'Daily KPI'!$O:$O,"&gt;0")</f>
        <v>0</v>
      </c>
      <c r="R60" s="147">
        <f t="shared" si="15"/>
        <v>0</v>
      </c>
      <c r="S60" s="147">
        <f>SUMIF($F$2:F60,F60,$R$2:R60)</f>
        <v>0</v>
      </c>
      <c r="T60" s="146">
        <f t="shared" si="16"/>
        <v>37.093066750314286</v>
      </c>
      <c r="U60" s="147">
        <f t="shared" si="17"/>
        <v>0</v>
      </c>
      <c r="V60" s="147">
        <f>SUMIF($F$2:F60,F60,$U$2:U60)</f>
        <v>0</v>
      </c>
      <c r="W60" s="148">
        <f t="shared" si="18"/>
        <v>0.19268965426944132</v>
      </c>
      <c r="X60" s="148" t="str">
        <f t="shared" si="27"/>
        <v/>
      </c>
      <c r="Y60" s="148" t="str">
        <f t="shared" si="9"/>
        <v/>
      </c>
      <c r="Z60" s="146" t="str">
        <f>IFERROR(AVERAGEIF('Daily KPI'!$D:$D,Table14[[#This Row],[Month]],'Daily KPI'!$AB:$AB),"")</f>
        <v/>
      </c>
      <c r="AA60" s="149">
        <f>IFERROR(AVERAGEIF($F$2:F60,F60,$N$2:N60),"")</f>
        <v>8.0208999999999993</v>
      </c>
      <c r="AB60" s="147"/>
      <c r="AC60" s="146"/>
      <c r="AD60" s="146"/>
      <c r="AE60" s="148">
        <v>0.98040000000000005</v>
      </c>
      <c r="AF60" s="148">
        <v>0.98</v>
      </c>
      <c r="AG60" s="148"/>
      <c r="AH60" s="148"/>
      <c r="AI60" s="148"/>
      <c r="AJ60" s="148"/>
      <c r="AK60" s="148"/>
      <c r="AL60" s="148"/>
      <c r="AM60" s="172"/>
      <c r="AN60" s="172"/>
    </row>
    <row r="61" spans="1:40" x14ac:dyDescent="0.3">
      <c r="A61" s="140">
        <f t="shared" si="10"/>
        <v>60</v>
      </c>
      <c r="B61" s="141" t="str">
        <f t="shared" si="28"/>
        <v>March</v>
      </c>
      <c r="C61" s="141">
        <f t="shared" si="28"/>
        <v>3</v>
      </c>
      <c r="D61" s="142">
        <v>44986</v>
      </c>
      <c r="E61" s="143">
        <f t="shared" si="24"/>
        <v>2023</v>
      </c>
      <c r="F61" s="143" t="s">
        <v>1179</v>
      </c>
      <c r="G61" s="144">
        <f t="shared" si="23"/>
        <v>31</v>
      </c>
      <c r="H61" s="149">
        <f t="shared" si="29"/>
        <v>197.2</v>
      </c>
      <c r="I61" s="149">
        <f t="shared" si="29"/>
        <v>210.4</v>
      </c>
      <c r="J61" s="146"/>
      <c r="K61" s="145"/>
      <c r="L61" s="144"/>
      <c r="M61" s="153">
        <f t="shared" si="21"/>
        <v>1204.1880014021069</v>
      </c>
      <c r="N61" s="147">
        <v>8.0208999999999993</v>
      </c>
      <c r="O61" s="148">
        <f t="shared" si="13"/>
        <v>0.71355172148533519</v>
      </c>
      <c r="P61" s="146">
        <f t="shared" si="14"/>
        <v>6.7870967741935484</v>
      </c>
      <c r="Q61" s="144">
        <f>COUNTIFS('Daily KPI'!$D:$D,D61,'Daily KPI'!$O:$O,"&gt;0")</f>
        <v>0</v>
      </c>
      <c r="R61" s="147">
        <f t="shared" si="15"/>
        <v>0</v>
      </c>
      <c r="S61" s="147">
        <f>SUMIF($F$2:F61,F61,$R$2:R61)</f>
        <v>0</v>
      </c>
      <c r="T61" s="146">
        <f t="shared" si="16"/>
        <v>38.844774238777646</v>
      </c>
      <c r="U61" s="147">
        <f t="shared" si="17"/>
        <v>0</v>
      </c>
      <c r="V61" s="147">
        <f>SUMIF($F$2:F61,F61,$U$2:U61)</f>
        <v>0</v>
      </c>
      <c r="W61" s="148">
        <f t="shared" si="18"/>
        <v>0.20178935779639051</v>
      </c>
      <c r="X61" s="148" t="str">
        <f t="shared" si="27"/>
        <v/>
      </c>
      <c r="Y61" s="148" t="str">
        <f t="shared" si="9"/>
        <v/>
      </c>
      <c r="Z61" s="146" t="str">
        <f>IFERROR(AVERAGEIF('Daily KPI'!$D:$D,Table14[[#This Row],[Month]],'Daily KPI'!$AB:$AB),"")</f>
        <v/>
      </c>
      <c r="AA61" s="149">
        <f>IFERROR(AVERAGEIF($F$2:F61,F61,$N$2:N61),"")</f>
        <v>8.0208999999999993</v>
      </c>
      <c r="AB61" s="147"/>
      <c r="AC61" s="146"/>
      <c r="AD61" s="146"/>
      <c r="AE61" s="148">
        <v>0.98040000000000005</v>
      </c>
      <c r="AF61" s="148">
        <v>0.98</v>
      </c>
      <c r="AG61" s="148"/>
      <c r="AH61" s="148"/>
      <c r="AI61" s="148"/>
      <c r="AJ61" s="148"/>
      <c r="AK61" s="148"/>
      <c r="AL61" s="148"/>
      <c r="AM61" s="172"/>
      <c r="AN61" s="172"/>
    </row>
    <row r="62" spans="1:40" x14ac:dyDescent="0.3">
      <c r="A62" s="140">
        <f t="shared" si="10"/>
        <v>61</v>
      </c>
      <c r="B62" s="141" t="str">
        <f t="shared" si="28"/>
        <v>April</v>
      </c>
      <c r="C62" s="141">
        <f t="shared" si="28"/>
        <v>4</v>
      </c>
      <c r="D62" s="142">
        <v>45017</v>
      </c>
      <c r="E62" s="143">
        <f t="shared" si="24"/>
        <v>2023</v>
      </c>
      <c r="F62" s="143" t="s">
        <v>1180</v>
      </c>
      <c r="G62" s="144">
        <f t="shared" si="23"/>
        <v>30</v>
      </c>
      <c r="H62" s="149">
        <f t="shared" si="29"/>
        <v>193.6</v>
      </c>
      <c r="I62" s="149">
        <f t="shared" si="29"/>
        <v>191.7</v>
      </c>
      <c r="J62" s="146"/>
      <c r="K62" s="145"/>
      <c r="L62" s="144"/>
      <c r="M62" s="153">
        <f t="shared" si="21"/>
        <v>1055.6537985859879</v>
      </c>
      <c r="N62" s="147">
        <v>8.0208999999999993</v>
      </c>
      <c r="O62" s="148">
        <f t="shared" si="13"/>
        <v>0.68655652664663702</v>
      </c>
      <c r="P62" s="146">
        <f t="shared" si="14"/>
        <v>6.39</v>
      </c>
      <c r="Q62" s="144">
        <f>COUNTIFS('Daily KPI'!$D:$D,D62,'Daily KPI'!$O:$O,"&gt;0")</f>
        <v>0</v>
      </c>
      <c r="R62" s="147">
        <f t="shared" si="15"/>
        <v>0</v>
      </c>
      <c r="S62" s="147">
        <f>SUMIF($F$2:F62,F62,$R$2:R62)</f>
        <v>0</v>
      </c>
      <c r="T62" s="146">
        <f t="shared" si="16"/>
        <v>35.188459952866268</v>
      </c>
      <c r="U62" s="147">
        <f t="shared" si="17"/>
        <v>0</v>
      </c>
      <c r="V62" s="147">
        <f>SUMIF($F$2:F62,F62,$U$2:U62)</f>
        <v>0</v>
      </c>
      <c r="W62" s="148">
        <f t="shared" si="18"/>
        <v>0.18279567521966711</v>
      </c>
      <c r="X62" s="148" t="str">
        <f t="shared" si="27"/>
        <v/>
      </c>
      <c r="Y62" s="148" t="str">
        <f t="shared" si="9"/>
        <v/>
      </c>
      <c r="Z62" s="146" t="str">
        <f>IFERROR(AVERAGEIF('Daily KPI'!$D:$D,Table14[[#This Row],[Month]],'Daily KPI'!$AB:$AB),"")</f>
        <v/>
      </c>
      <c r="AA62" s="149">
        <f>IFERROR(AVERAGEIF($F$2:F62,F62,$N$2:N62),"")</f>
        <v>8.0208999999999993</v>
      </c>
      <c r="AB62" s="147"/>
      <c r="AC62" s="146"/>
      <c r="AD62" s="146"/>
      <c r="AE62" s="148">
        <v>0.98040000000000005</v>
      </c>
      <c r="AF62" s="148">
        <v>0.98</v>
      </c>
      <c r="AG62" s="148"/>
      <c r="AH62" s="148"/>
      <c r="AI62" s="148"/>
      <c r="AJ62" s="148"/>
      <c r="AK62" s="148"/>
      <c r="AL62" s="148"/>
      <c r="AM62" s="172"/>
      <c r="AN62" s="172"/>
    </row>
    <row r="63" spans="1:40" x14ac:dyDescent="0.3">
      <c r="A63" s="140">
        <f t="shared" si="10"/>
        <v>62</v>
      </c>
      <c r="B63" s="141" t="str">
        <f t="shared" ref="B63:C78" si="30">B51</f>
        <v>May</v>
      </c>
      <c r="C63" s="141">
        <f t="shared" si="30"/>
        <v>5</v>
      </c>
      <c r="D63" s="142">
        <v>45047</v>
      </c>
      <c r="E63" s="143">
        <f t="shared" si="24"/>
        <v>2023</v>
      </c>
      <c r="F63" s="143" t="s">
        <v>1180</v>
      </c>
      <c r="G63" s="144">
        <f t="shared" si="23"/>
        <v>31</v>
      </c>
      <c r="H63" s="149">
        <f t="shared" ref="H63:I78" si="31">H51</f>
        <v>198.6</v>
      </c>
      <c r="I63" s="149">
        <f t="shared" si="31"/>
        <v>186.4</v>
      </c>
      <c r="J63" s="146"/>
      <c r="K63" s="145"/>
      <c r="L63" s="144"/>
      <c r="M63" s="153">
        <f t="shared" si="21"/>
        <v>1060.9585915437065</v>
      </c>
      <c r="N63" s="147">
        <v>8.0208999999999993</v>
      </c>
      <c r="O63" s="148">
        <f t="shared" si="13"/>
        <v>0.70962584466409462</v>
      </c>
      <c r="P63" s="146">
        <f t="shared" si="14"/>
        <v>6.0129032258064514</v>
      </c>
      <c r="Q63" s="144">
        <f>COUNTIFS('Daily KPI'!$D:$D,D63,'Daily KPI'!$O:$O,"&gt;0")</f>
        <v>0</v>
      </c>
      <c r="R63" s="147">
        <f t="shared" si="15"/>
        <v>0</v>
      </c>
      <c r="S63" s="147">
        <f>SUMIF($F$2:F63,F63,$R$2:R63)</f>
        <v>0</v>
      </c>
      <c r="T63" s="146">
        <f t="shared" si="16"/>
        <v>34.224470694958271</v>
      </c>
      <c r="U63" s="147">
        <f t="shared" si="17"/>
        <v>0</v>
      </c>
      <c r="V63" s="147">
        <f>SUMIF($F$2:F63,F63,$U$2:U63)</f>
        <v>0</v>
      </c>
      <c r="W63" s="148">
        <f t="shared" si="18"/>
        <v>0.17778798043734842</v>
      </c>
      <c r="X63" s="148" t="str">
        <f t="shared" si="27"/>
        <v/>
      </c>
      <c r="Y63" s="148" t="str">
        <f t="shared" si="9"/>
        <v/>
      </c>
      <c r="Z63" s="146" t="str">
        <f>IFERROR(AVERAGEIF('Daily KPI'!$D:$D,Table14[[#This Row],[Month]],'Daily KPI'!$AB:$AB),"")</f>
        <v/>
      </c>
      <c r="AA63" s="149">
        <f>IFERROR(AVERAGEIF($F$2:F63,F63,$N$2:N63),"")</f>
        <v>8.0208999999999993</v>
      </c>
      <c r="AB63" s="147"/>
      <c r="AC63" s="146"/>
      <c r="AD63" s="146"/>
      <c r="AE63" s="148">
        <v>0.98040000000000005</v>
      </c>
      <c r="AF63" s="148">
        <v>0.98</v>
      </c>
      <c r="AG63" s="148"/>
      <c r="AH63" s="148"/>
      <c r="AI63" s="148"/>
      <c r="AJ63" s="148"/>
      <c r="AK63" s="148"/>
      <c r="AL63" s="148"/>
      <c r="AM63" s="172"/>
      <c r="AN63" s="172"/>
    </row>
    <row r="64" spans="1:40" x14ac:dyDescent="0.3">
      <c r="A64" s="140">
        <f t="shared" si="10"/>
        <v>63</v>
      </c>
      <c r="B64" s="141" t="str">
        <f t="shared" si="30"/>
        <v>June</v>
      </c>
      <c r="C64" s="141">
        <f t="shared" si="30"/>
        <v>6</v>
      </c>
      <c r="D64" s="142">
        <v>45078</v>
      </c>
      <c r="E64" s="143">
        <f t="shared" si="24"/>
        <v>2023</v>
      </c>
      <c r="F64" s="143" t="s">
        <v>1180</v>
      </c>
      <c r="G64" s="144">
        <f t="shared" si="23"/>
        <v>30</v>
      </c>
      <c r="H64" s="149">
        <f t="shared" si="31"/>
        <v>154.80000000000001</v>
      </c>
      <c r="I64" s="149">
        <f t="shared" si="31"/>
        <v>142.80000000000001</v>
      </c>
      <c r="J64" s="146"/>
      <c r="K64" s="145"/>
      <c r="L64" s="144"/>
      <c r="M64" s="153">
        <f t="shared" si="21"/>
        <v>790.41415070006133</v>
      </c>
      <c r="N64" s="147">
        <v>8.0208999999999993</v>
      </c>
      <c r="O64" s="148">
        <f t="shared" si="13"/>
        <v>0.6900862870925315</v>
      </c>
      <c r="P64" s="146">
        <f t="shared" si="14"/>
        <v>4.7600000000000007</v>
      </c>
      <c r="Q64" s="144">
        <f>COUNTIFS('Daily KPI'!$D:$D,D64,'Daily KPI'!$O:$O,"&gt;0")</f>
        <v>0</v>
      </c>
      <c r="R64" s="147">
        <f t="shared" si="15"/>
        <v>0</v>
      </c>
      <c r="S64" s="147">
        <f>SUMIF($F$2:F64,F64,$R$2:R64)</f>
        <v>0</v>
      </c>
      <c r="T64" s="146">
        <f t="shared" si="16"/>
        <v>26.347138356668712</v>
      </c>
      <c r="U64" s="147">
        <f t="shared" si="17"/>
        <v>0</v>
      </c>
      <c r="V64" s="147">
        <f>SUMIF($F$2:F64,F64,$U$2:U64)</f>
        <v>0</v>
      </c>
      <c r="W64" s="148">
        <f t="shared" si="18"/>
        <v>0.13686711360668541</v>
      </c>
      <c r="X64" s="148" t="str">
        <f t="shared" si="27"/>
        <v/>
      </c>
      <c r="Y64" s="148" t="str">
        <f t="shared" si="9"/>
        <v/>
      </c>
      <c r="Z64" s="146" t="str">
        <f>IFERROR(AVERAGEIF('Daily KPI'!$D:$D,Table14[[#This Row],[Month]],'Daily KPI'!$AB:$AB),"")</f>
        <v/>
      </c>
      <c r="AA64" s="149">
        <f>IFERROR(AVERAGEIF($F$2:F64,F64,$N$2:N64),"")</f>
        <v>8.0208999999999993</v>
      </c>
      <c r="AB64" s="147"/>
      <c r="AC64" s="146"/>
      <c r="AD64" s="146"/>
      <c r="AE64" s="148">
        <v>0.98040000000000005</v>
      </c>
      <c r="AF64" s="148">
        <v>0.98</v>
      </c>
      <c r="AG64" s="148"/>
      <c r="AH64" s="148"/>
      <c r="AI64" s="148"/>
      <c r="AJ64" s="148"/>
      <c r="AK64" s="148"/>
      <c r="AL64" s="148"/>
      <c r="AM64" s="172"/>
      <c r="AN64" s="172"/>
    </row>
    <row r="65" spans="1:40" x14ac:dyDescent="0.3">
      <c r="A65" s="140">
        <f t="shared" si="10"/>
        <v>64</v>
      </c>
      <c r="B65" s="141" t="str">
        <f t="shared" si="30"/>
        <v>July</v>
      </c>
      <c r="C65" s="141">
        <f t="shared" si="30"/>
        <v>7</v>
      </c>
      <c r="D65" s="142">
        <v>45108</v>
      </c>
      <c r="E65" s="143">
        <f t="shared" si="24"/>
        <v>2023</v>
      </c>
      <c r="F65" s="143" t="s">
        <v>1180</v>
      </c>
      <c r="G65" s="144">
        <f t="shared" si="23"/>
        <v>31</v>
      </c>
      <c r="H65" s="149">
        <f t="shared" si="31"/>
        <v>134.4</v>
      </c>
      <c r="I65" s="149">
        <f t="shared" si="31"/>
        <v>125.4</v>
      </c>
      <c r="J65" s="146"/>
      <c r="K65" s="145"/>
      <c r="L65" s="144"/>
      <c r="M65" s="153">
        <f t="shared" si="21"/>
        <v>721.45184224972047</v>
      </c>
      <c r="N65" s="147">
        <v>8.0208999999999993</v>
      </c>
      <c r="O65" s="148">
        <f t="shared" si="13"/>
        <v>0.71727667514245075</v>
      </c>
      <c r="P65" s="146">
        <f t="shared" si="14"/>
        <v>4.0451612903225804</v>
      </c>
      <c r="Q65" s="144">
        <f>COUNTIFS('Daily KPI'!$D:$D,D65,'Daily KPI'!$O:$O,"&gt;0")</f>
        <v>0</v>
      </c>
      <c r="R65" s="147">
        <f t="shared" si="15"/>
        <v>0</v>
      </c>
      <c r="S65" s="147">
        <f>SUMIF($F$2:F65,F65,$R$2:R65)</f>
        <v>0</v>
      </c>
      <c r="T65" s="146">
        <f t="shared" si="16"/>
        <v>23.27264007257163</v>
      </c>
      <c r="U65" s="147">
        <f t="shared" si="17"/>
        <v>0</v>
      </c>
      <c r="V65" s="147">
        <f>SUMIF($F$2:F65,F65,$U$2:U65)</f>
        <v>0</v>
      </c>
      <c r="W65" s="148">
        <f t="shared" si="18"/>
        <v>0.12089582669739696</v>
      </c>
      <c r="X65" s="148" t="str">
        <f t="shared" si="27"/>
        <v/>
      </c>
      <c r="Y65" s="148" t="str">
        <f t="shared" si="9"/>
        <v/>
      </c>
      <c r="Z65" s="146" t="str">
        <f>IFERROR(AVERAGEIF('Daily KPI'!$D:$D,Table14[[#This Row],[Month]],'Daily KPI'!$AB:$AB),"")</f>
        <v/>
      </c>
      <c r="AA65" s="149">
        <f>IFERROR(AVERAGEIF($F$2:F65,F65,$N$2:N65),"")</f>
        <v>8.0208999999999993</v>
      </c>
      <c r="AB65" s="147"/>
      <c r="AC65" s="146"/>
      <c r="AD65" s="146"/>
      <c r="AE65" s="148">
        <v>0.98040000000000005</v>
      </c>
      <c r="AF65" s="148">
        <v>0.98</v>
      </c>
      <c r="AG65" s="148"/>
      <c r="AH65" s="148"/>
      <c r="AI65" s="148"/>
      <c r="AJ65" s="148"/>
      <c r="AK65" s="148"/>
      <c r="AL65" s="148"/>
      <c r="AM65" s="172"/>
      <c r="AN65" s="172"/>
    </row>
    <row r="66" spans="1:40" x14ac:dyDescent="0.3">
      <c r="A66" s="140">
        <f t="shared" si="10"/>
        <v>65</v>
      </c>
      <c r="B66" s="141" t="str">
        <f t="shared" si="30"/>
        <v>August</v>
      </c>
      <c r="C66" s="141">
        <f t="shared" si="30"/>
        <v>8</v>
      </c>
      <c r="D66" s="142">
        <v>45139</v>
      </c>
      <c r="E66" s="143">
        <f t="shared" si="24"/>
        <v>2023</v>
      </c>
      <c r="F66" s="143" t="s">
        <v>1180</v>
      </c>
      <c r="G66" s="144">
        <f t="shared" si="23"/>
        <v>31</v>
      </c>
      <c r="H66" s="149">
        <f t="shared" si="31"/>
        <v>134.6</v>
      </c>
      <c r="I66" s="149">
        <f t="shared" si="31"/>
        <v>130.69999999999999</v>
      </c>
      <c r="J66" s="146"/>
      <c r="K66" s="145"/>
      <c r="L66" s="144"/>
      <c r="M66" s="153">
        <f t="shared" si="21"/>
        <v>763.89018591146873</v>
      </c>
      <c r="N66" s="147">
        <v>8.0208999999999993</v>
      </c>
      <c r="O66" s="148">
        <f t="shared" si="13"/>
        <v>0.72867226748797886</v>
      </c>
      <c r="P66" s="146">
        <f t="shared" si="14"/>
        <v>4.2161290322580642</v>
      </c>
      <c r="Q66" s="144">
        <f>COUNTIFS('Daily KPI'!$D:$D,D66,'Daily KPI'!$O:$O,"&gt;0")</f>
        <v>0</v>
      </c>
      <c r="R66" s="147">
        <f t="shared" si="15"/>
        <v>0</v>
      </c>
      <c r="S66" s="147">
        <f>SUMIF($F$2:F66,F66,$R$2:R66)</f>
        <v>0</v>
      </c>
      <c r="T66" s="146">
        <f t="shared" si="16"/>
        <v>24.641618900369959</v>
      </c>
      <c r="U66" s="147">
        <f t="shared" si="17"/>
        <v>0</v>
      </c>
      <c r="V66" s="147">
        <f>SUMIF($F$2:F66,F66,$U$2:U66)</f>
        <v>0</v>
      </c>
      <c r="W66" s="148">
        <f t="shared" si="18"/>
        <v>0.12800734591489088</v>
      </c>
      <c r="X66" s="148" t="str">
        <f t="shared" ref="X66:X97" si="32">IFERROR(U66/(24*N66*Q66),"")</f>
        <v/>
      </c>
      <c r="Y66" s="148" t="str">
        <f t="shared" ref="Y66:Y97" si="33">IFERROR(V66/(24*N66*SUMIFS($Q:$Q,$F:$F,$F66,$D:$D,"&lt;="&amp;D66)),"")</f>
        <v/>
      </c>
      <c r="Z66" s="146" t="str">
        <f>IFERROR(AVERAGEIF('Daily KPI'!$D:$D,Table14[[#This Row],[Month]],'Daily KPI'!$AB:$AB),"")</f>
        <v/>
      </c>
      <c r="AA66" s="149">
        <f>IFERROR(AVERAGEIF($F$2:F66,F66,$N$2:N66),"")</f>
        <v>8.0208999999999993</v>
      </c>
      <c r="AB66" s="147"/>
      <c r="AC66" s="146"/>
      <c r="AD66" s="146"/>
      <c r="AE66" s="148">
        <v>0.98040000000000005</v>
      </c>
      <c r="AF66" s="148">
        <v>0.98</v>
      </c>
      <c r="AG66" s="148"/>
      <c r="AH66" s="148"/>
      <c r="AI66" s="148"/>
      <c r="AJ66" s="148"/>
      <c r="AK66" s="148"/>
      <c r="AL66" s="148"/>
      <c r="AM66" s="172"/>
      <c r="AN66" s="172"/>
    </row>
    <row r="67" spans="1:40" x14ac:dyDescent="0.3">
      <c r="A67" s="140">
        <f t="shared" ref="A67:A97" si="34">A66+1</f>
        <v>66</v>
      </c>
      <c r="B67" s="141" t="str">
        <f t="shared" si="30"/>
        <v>September</v>
      </c>
      <c r="C67" s="141">
        <f t="shared" si="30"/>
        <v>9</v>
      </c>
      <c r="D67" s="142">
        <v>45170</v>
      </c>
      <c r="E67" s="143">
        <f t="shared" si="24"/>
        <v>2023</v>
      </c>
      <c r="F67" s="143" t="s">
        <v>1180</v>
      </c>
      <c r="G67" s="144">
        <f t="shared" si="23"/>
        <v>30</v>
      </c>
      <c r="H67" s="149">
        <f t="shared" si="31"/>
        <v>142.5</v>
      </c>
      <c r="I67" s="149">
        <f t="shared" si="31"/>
        <v>145.4</v>
      </c>
      <c r="J67" s="146"/>
      <c r="K67" s="145"/>
      <c r="L67" s="144"/>
      <c r="M67" s="153">
        <f t="shared" si="21"/>
        <v>827.54770140409107</v>
      </c>
      <c r="N67" s="147">
        <v>8.0208999999999993</v>
      </c>
      <c r="O67" s="148">
        <f t="shared" si="13"/>
        <v>0.70958680060111445</v>
      </c>
      <c r="P67" s="146">
        <f t="shared" si="14"/>
        <v>4.8466666666666667</v>
      </c>
      <c r="Q67" s="144">
        <f>COUNTIFS('Daily KPI'!$D:$D,D67,'Daily KPI'!$O:$O,"&gt;0")</f>
        <v>0</v>
      </c>
      <c r="R67" s="147">
        <f t="shared" si="15"/>
        <v>0</v>
      </c>
      <c r="S67" s="147">
        <f>SUMIF($F$2:F67,F67,$R$2:R67)</f>
        <v>0</v>
      </c>
      <c r="T67" s="146">
        <f t="shared" si="16"/>
        <v>27.58492338013637</v>
      </c>
      <c r="U67" s="147">
        <f t="shared" si="17"/>
        <v>0</v>
      </c>
      <c r="V67" s="147">
        <f>SUMIF($F$2:F67,F67,$U$2:U67)</f>
        <v>0</v>
      </c>
      <c r="W67" s="148">
        <f t="shared" si="18"/>
        <v>0.14329711223250285</v>
      </c>
      <c r="X67" s="148" t="str">
        <f t="shared" si="32"/>
        <v/>
      </c>
      <c r="Y67" s="148" t="str">
        <f t="shared" si="33"/>
        <v/>
      </c>
      <c r="Z67" s="146" t="str">
        <f>IFERROR(AVERAGEIF('Daily KPI'!$D:$D,Table14[[#This Row],[Month]],'Daily KPI'!$AB:$AB),"")</f>
        <v/>
      </c>
      <c r="AA67" s="149">
        <f>IFERROR(AVERAGEIF($F$2:F67,F67,$N$2:N67),"")</f>
        <v>8.0208999999999993</v>
      </c>
      <c r="AB67" s="147"/>
      <c r="AC67" s="146"/>
      <c r="AD67" s="146"/>
      <c r="AE67" s="148">
        <v>0.98040000000000005</v>
      </c>
      <c r="AF67" s="148">
        <v>0.98</v>
      </c>
      <c r="AG67" s="148"/>
      <c r="AH67" s="148"/>
      <c r="AI67" s="148"/>
      <c r="AJ67" s="148"/>
      <c r="AK67" s="148"/>
      <c r="AL67" s="148"/>
      <c r="AM67" s="172"/>
      <c r="AN67" s="172"/>
    </row>
    <row r="68" spans="1:40" x14ac:dyDescent="0.3">
      <c r="A68" s="140">
        <f t="shared" si="34"/>
        <v>67</v>
      </c>
      <c r="B68" s="141" t="str">
        <f t="shared" si="30"/>
        <v>October</v>
      </c>
      <c r="C68" s="141">
        <f t="shared" si="30"/>
        <v>10</v>
      </c>
      <c r="D68" s="142">
        <v>45200</v>
      </c>
      <c r="E68" s="143">
        <f t="shared" si="24"/>
        <v>2023</v>
      </c>
      <c r="F68" s="143" t="s">
        <v>1180</v>
      </c>
      <c r="G68" s="144">
        <f t="shared" si="23"/>
        <v>31</v>
      </c>
      <c r="H68" s="149">
        <f t="shared" si="31"/>
        <v>145.69999999999999</v>
      </c>
      <c r="I68" s="149">
        <f t="shared" si="31"/>
        <v>158.80000000000001</v>
      </c>
      <c r="J68" s="146"/>
      <c r="K68" s="145"/>
      <c r="L68" s="144"/>
      <c r="M68" s="153">
        <f t="shared" si="21"/>
        <v>938.9483535161803</v>
      </c>
      <c r="N68" s="147">
        <v>8.0208999999999993</v>
      </c>
      <c r="O68" s="148">
        <f t="shared" si="13"/>
        <v>0.73717076724916697</v>
      </c>
      <c r="P68" s="146">
        <f t="shared" si="14"/>
        <v>5.1225806451612907</v>
      </c>
      <c r="Q68" s="144">
        <f>COUNTIFS('Daily KPI'!$D:$D,D68,'Daily KPI'!$O:$O,"&gt;0")</f>
        <v>0</v>
      </c>
      <c r="R68" s="147">
        <f t="shared" si="15"/>
        <v>0</v>
      </c>
      <c r="S68" s="147">
        <f>SUMIF($F$2:F68,F68,$R$2:R68)</f>
        <v>0</v>
      </c>
      <c r="T68" s="146">
        <f t="shared" si="16"/>
        <v>30.288656565038075</v>
      </c>
      <c r="U68" s="147">
        <f t="shared" si="17"/>
        <v>0</v>
      </c>
      <c r="V68" s="147">
        <f>SUMIF($F$2:F68,F68,$U$2:U68)</f>
        <v>0</v>
      </c>
      <c r="W68" s="148">
        <f t="shared" si="18"/>
        <v>0.15734236268705337</v>
      </c>
      <c r="X68" s="148" t="str">
        <f t="shared" si="32"/>
        <v/>
      </c>
      <c r="Y68" s="148" t="str">
        <f t="shared" si="33"/>
        <v/>
      </c>
      <c r="Z68" s="146" t="str">
        <f>IFERROR(AVERAGEIF('Daily KPI'!$D:$D,Table14[[#This Row],[Month]],'Daily KPI'!$AB:$AB),"")</f>
        <v/>
      </c>
      <c r="AA68" s="149">
        <f>IFERROR(AVERAGEIF($F$2:F68,F68,$N$2:N68),"")</f>
        <v>8.0208999999999993</v>
      </c>
      <c r="AB68" s="147"/>
      <c r="AC68" s="146"/>
      <c r="AD68" s="146"/>
      <c r="AE68" s="148">
        <v>0.98040000000000005</v>
      </c>
      <c r="AF68" s="148">
        <v>0.98</v>
      </c>
      <c r="AG68" s="148"/>
      <c r="AH68" s="148"/>
      <c r="AI68" s="148"/>
      <c r="AJ68" s="148"/>
      <c r="AK68" s="148"/>
      <c r="AL68" s="148"/>
      <c r="AM68" s="172"/>
      <c r="AN68" s="172"/>
    </row>
    <row r="69" spans="1:40" x14ac:dyDescent="0.3">
      <c r="A69" s="140">
        <f t="shared" si="34"/>
        <v>68</v>
      </c>
      <c r="B69" s="141" t="str">
        <f t="shared" si="30"/>
        <v>November</v>
      </c>
      <c r="C69" s="141">
        <f t="shared" si="30"/>
        <v>11</v>
      </c>
      <c r="D69" s="142">
        <v>45231</v>
      </c>
      <c r="E69" s="143">
        <f t="shared" si="24"/>
        <v>2023</v>
      </c>
      <c r="F69" s="143" t="s">
        <v>1180</v>
      </c>
      <c r="G69" s="144">
        <f t="shared" si="23"/>
        <v>30</v>
      </c>
      <c r="H69" s="149">
        <f t="shared" si="31"/>
        <v>138.9</v>
      </c>
      <c r="I69" s="149">
        <f t="shared" si="31"/>
        <v>163</v>
      </c>
      <c r="J69" s="146"/>
      <c r="K69" s="145"/>
      <c r="L69" s="144"/>
      <c r="M69" s="153">
        <f t="shared" si="21"/>
        <v>944.25314647389882</v>
      </c>
      <c r="N69" s="147">
        <v>8.0208999999999993</v>
      </c>
      <c r="O69" s="148">
        <f t="shared" si="13"/>
        <v>0.7222336756220531</v>
      </c>
      <c r="P69" s="146">
        <f t="shared" si="14"/>
        <v>5.4333333333333336</v>
      </c>
      <c r="Q69" s="144">
        <f>COUNTIFS('Daily KPI'!$D:$D,D69,'Daily KPI'!$O:$O,"&gt;0")</f>
        <v>0</v>
      </c>
      <c r="R69" s="147">
        <f t="shared" si="15"/>
        <v>0</v>
      </c>
      <c r="S69" s="147">
        <f>SUMIF($F$2:F69,F69,$R$2:R69)</f>
        <v>0</v>
      </c>
      <c r="T69" s="146">
        <f t="shared" si="16"/>
        <v>31.475104882463295</v>
      </c>
      <c r="U69" s="147">
        <f t="shared" si="17"/>
        <v>0</v>
      </c>
      <c r="V69" s="147">
        <f>SUMIF($F$2:F69,F69,$U$2:U69)</f>
        <v>0</v>
      </c>
      <c r="W69" s="148">
        <f t="shared" si="18"/>
        <v>0.1635056793422148</v>
      </c>
      <c r="X69" s="148" t="str">
        <f t="shared" si="32"/>
        <v/>
      </c>
      <c r="Y69" s="148" t="str">
        <f t="shared" si="33"/>
        <v/>
      </c>
      <c r="Z69" s="146" t="str">
        <f>IFERROR(AVERAGEIF('Daily KPI'!$D:$D,Table14[[#This Row],[Month]],'Daily KPI'!$AB:$AB),"")</f>
        <v/>
      </c>
      <c r="AA69" s="149">
        <f>IFERROR(AVERAGEIF($F$2:F69,F69,$N$2:N69),"")</f>
        <v>8.0208999999999993</v>
      </c>
      <c r="AB69" s="147"/>
      <c r="AC69" s="146"/>
      <c r="AD69" s="146"/>
      <c r="AE69" s="148">
        <v>0.98040000000000005</v>
      </c>
      <c r="AF69" s="148">
        <v>0.98</v>
      </c>
      <c r="AG69" s="148"/>
      <c r="AH69" s="148"/>
      <c r="AI69" s="148"/>
      <c r="AJ69" s="148"/>
      <c r="AK69" s="148"/>
      <c r="AL69" s="148"/>
      <c r="AM69" s="172"/>
      <c r="AN69" s="172"/>
    </row>
    <row r="70" spans="1:40" x14ac:dyDescent="0.3">
      <c r="A70" s="140">
        <f t="shared" si="34"/>
        <v>69</v>
      </c>
      <c r="B70" s="141" t="str">
        <f t="shared" si="30"/>
        <v>December</v>
      </c>
      <c r="C70" s="141">
        <f t="shared" si="30"/>
        <v>12</v>
      </c>
      <c r="D70" s="142">
        <v>45261</v>
      </c>
      <c r="E70" s="143">
        <f t="shared" si="24"/>
        <v>2023</v>
      </c>
      <c r="F70" s="143" t="s">
        <v>1180</v>
      </c>
      <c r="G70" s="144">
        <f t="shared" si="23"/>
        <v>31</v>
      </c>
      <c r="H70" s="149">
        <f t="shared" si="31"/>
        <v>134.69999999999999</v>
      </c>
      <c r="I70" s="149">
        <f t="shared" si="31"/>
        <v>163.69999999999999</v>
      </c>
      <c r="J70" s="146"/>
      <c r="K70" s="145"/>
      <c r="L70" s="144"/>
      <c r="M70" s="153">
        <f t="shared" si="21"/>
        <v>981.38669717792857</v>
      </c>
      <c r="N70" s="147">
        <v>8.0208999999999993</v>
      </c>
      <c r="O70" s="148">
        <f t="shared" ref="O70:O96" si="35">IFERROR(M70/I70/N70,"")</f>
        <v>0.74742631726929265</v>
      </c>
      <c r="P70" s="146">
        <f t="shared" ref="P70:P96" si="36">IFERROR(I70/G70,"")</f>
        <v>5.2806451612903222</v>
      </c>
      <c r="Q70" s="144">
        <f>COUNTIFS('Daily KPI'!$D:$D,D70,'Daily KPI'!$O:$O,"&gt;0")</f>
        <v>0</v>
      </c>
      <c r="R70" s="147">
        <f t="shared" ref="R70:R96" si="37">I70/G70*Q70</f>
        <v>0</v>
      </c>
      <c r="S70" s="147">
        <f>SUMIF($F$2:F70,F70,$R$2:R70)</f>
        <v>0</v>
      </c>
      <c r="T70" s="146">
        <f t="shared" ref="T70:T96" si="38">M70/G70</f>
        <v>31.657635392836404</v>
      </c>
      <c r="U70" s="147">
        <f t="shared" ref="U70:U96" si="39">M70/G70*Q70</f>
        <v>0</v>
      </c>
      <c r="V70" s="147">
        <f>SUMIF($F$2:F70,F70,$U$2:U70)</f>
        <v>0</v>
      </c>
      <c r="W70" s="148">
        <f t="shared" ref="W70:W96" si="40">IFERROR(T70/(24*N70),"")</f>
        <v>0.16445388190454732</v>
      </c>
      <c r="X70" s="148" t="str">
        <f t="shared" si="32"/>
        <v/>
      </c>
      <c r="Y70" s="148" t="str">
        <f t="shared" si="33"/>
        <v/>
      </c>
      <c r="Z70" s="146" t="str">
        <f>IFERROR(AVERAGEIF('Daily KPI'!$D:$D,Table14[[#This Row],[Month]],'Daily KPI'!$AB:$AB),"")</f>
        <v/>
      </c>
      <c r="AA70" s="149">
        <f>IFERROR(AVERAGEIF($F$2:F70,F70,$N$2:N70),"")</f>
        <v>8.0208999999999993</v>
      </c>
      <c r="AB70" s="147"/>
      <c r="AC70" s="146"/>
      <c r="AD70" s="146"/>
      <c r="AE70" s="148">
        <v>0.98040000000000005</v>
      </c>
      <c r="AF70" s="148">
        <v>0.98</v>
      </c>
      <c r="AG70" s="148"/>
      <c r="AH70" s="148"/>
      <c r="AI70" s="148"/>
      <c r="AJ70" s="148"/>
      <c r="AK70" s="148"/>
      <c r="AL70" s="148"/>
      <c r="AM70" s="172"/>
      <c r="AN70" s="172"/>
    </row>
    <row r="71" spans="1:40" x14ac:dyDescent="0.3">
      <c r="A71" s="140">
        <f t="shared" si="34"/>
        <v>70</v>
      </c>
      <c r="B71" s="141" t="str">
        <f t="shared" si="30"/>
        <v>January</v>
      </c>
      <c r="C71" s="141">
        <f t="shared" si="30"/>
        <v>1</v>
      </c>
      <c r="D71" s="142">
        <v>45292</v>
      </c>
      <c r="E71" s="143">
        <f t="shared" si="24"/>
        <v>2024</v>
      </c>
      <c r="F71" s="143" t="s">
        <v>1180</v>
      </c>
      <c r="G71" s="144">
        <f t="shared" si="23"/>
        <v>31</v>
      </c>
      <c r="H71" s="149">
        <f t="shared" si="31"/>
        <v>151.6</v>
      </c>
      <c r="I71" s="149">
        <f t="shared" si="31"/>
        <v>183.9</v>
      </c>
      <c r="J71" s="146"/>
      <c r="K71" s="145"/>
      <c r="L71" s="144"/>
      <c r="M71" s="153">
        <f t="shared" si="21"/>
        <v>1087.4825563322993</v>
      </c>
      <c r="N71" s="147">
        <v>8.0208999999999993</v>
      </c>
      <c r="O71" s="148">
        <f t="shared" si="35"/>
        <v>0.73725456161784642</v>
      </c>
      <c r="P71" s="146">
        <f t="shared" si="36"/>
        <v>5.9322580645161294</v>
      </c>
      <c r="Q71" s="144">
        <f>COUNTIFS('Daily KPI'!$D:$D,D71,'Daily KPI'!$O:$O,"&gt;0")</f>
        <v>0</v>
      </c>
      <c r="R71" s="147">
        <f t="shared" si="37"/>
        <v>0</v>
      </c>
      <c r="S71" s="147">
        <f>SUMIF($F$2:F71,F71,$R$2:R71)</f>
        <v>0</v>
      </c>
      <c r="T71" s="146">
        <f t="shared" si="38"/>
        <v>35.080082462332236</v>
      </c>
      <c r="U71" s="147">
        <f t="shared" si="39"/>
        <v>0</v>
      </c>
      <c r="V71" s="147">
        <f>SUMIF($F$2:F71,F71,$U$2:U71)</f>
        <v>0</v>
      </c>
      <c r="W71" s="148">
        <f t="shared" si="40"/>
        <v>0.18223267994828218</v>
      </c>
      <c r="X71" s="148" t="str">
        <f t="shared" si="32"/>
        <v/>
      </c>
      <c r="Y71" s="148" t="str">
        <f t="shared" si="33"/>
        <v/>
      </c>
      <c r="Z71" s="146" t="str">
        <f>IFERROR(AVERAGEIF('Daily KPI'!$D:$D,Table14[[#This Row],[Month]],'Daily KPI'!$AB:$AB),"")</f>
        <v/>
      </c>
      <c r="AA71" s="149">
        <f>IFERROR(AVERAGEIF($F$2:F71,F71,$N$2:N71),"")</f>
        <v>8.0208999999999993</v>
      </c>
      <c r="AB71" s="147"/>
      <c r="AC71" s="146"/>
      <c r="AD71" s="146"/>
      <c r="AE71" s="148">
        <v>0.98040000000000005</v>
      </c>
      <c r="AF71" s="148">
        <v>0.98</v>
      </c>
      <c r="AG71" s="148"/>
      <c r="AH71" s="148"/>
      <c r="AI71" s="148"/>
      <c r="AJ71" s="148"/>
      <c r="AK71" s="148"/>
      <c r="AL71" s="148"/>
      <c r="AM71" s="172"/>
      <c r="AN71" s="172"/>
    </row>
    <row r="72" spans="1:40" x14ac:dyDescent="0.3">
      <c r="A72" s="140">
        <f t="shared" si="34"/>
        <v>71</v>
      </c>
      <c r="B72" s="141" t="str">
        <f t="shared" si="30"/>
        <v>February</v>
      </c>
      <c r="C72" s="141">
        <f t="shared" si="30"/>
        <v>2</v>
      </c>
      <c r="D72" s="142">
        <v>45323</v>
      </c>
      <c r="E72" s="143">
        <f t="shared" si="24"/>
        <v>2024</v>
      </c>
      <c r="F72" s="143" t="s">
        <v>1180</v>
      </c>
      <c r="G72" s="144">
        <f t="shared" si="23"/>
        <v>29</v>
      </c>
      <c r="H72" s="149">
        <f t="shared" si="31"/>
        <v>159.9</v>
      </c>
      <c r="I72" s="149">
        <f t="shared" si="31"/>
        <v>184</v>
      </c>
      <c r="J72" s="146"/>
      <c r="K72" s="145"/>
      <c r="L72" s="144"/>
      <c r="M72" s="153">
        <f t="shared" si="21"/>
        <v>1038.6058690088</v>
      </c>
      <c r="N72" s="147">
        <v>8.0208999999999993</v>
      </c>
      <c r="O72" s="148">
        <f t="shared" si="35"/>
        <v>0.70373612863622048</v>
      </c>
      <c r="P72" s="146">
        <f t="shared" si="36"/>
        <v>6.3448275862068968</v>
      </c>
      <c r="Q72" s="144">
        <f>COUNTIFS('Daily KPI'!$D:$D,D72,'Daily KPI'!$O:$O,"&gt;0")</f>
        <v>0</v>
      </c>
      <c r="R72" s="147">
        <f t="shared" si="37"/>
        <v>0</v>
      </c>
      <c r="S72" s="147">
        <f>SUMIF($F$2:F72,F72,$R$2:R72)</f>
        <v>0</v>
      </c>
      <c r="T72" s="146">
        <f t="shared" si="38"/>
        <v>35.813995483062072</v>
      </c>
      <c r="U72" s="147">
        <f t="shared" si="39"/>
        <v>0</v>
      </c>
      <c r="V72" s="147">
        <f>SUMIF($F$2:F72,F72,$U$2:U72)</f>
        <v>0</v>
      </c>
      <c r="W72" s="148">
        <f t="shared" si="40"/>
        <v>0.18604518343256407</v>
      </c>
      <c r="X72" s="148" t="str">
        <f t="shared" si="32"/>
        <v/>
      </c>
      <c r="Y72" s="148" t="str">
        <f t="shared" si="33"/>
        <v/>
      </c>
      <c r="Z72" s="146" t="str">
        <f>IFERROR(AVERAGEIF('Daily KPI'!$D:$D,Table14[[#This Row],[Month]],'Daily KPI'!$AB:$AB),"")</f>
        <v/>
      </c>
      <c r="AA72" s="149">
        <f>IFERROR(AVERAGEIF($F$2:F72,F72,$N$2:N72),"")</f>
        <v>8.0208999999999993</v>
      </c>
      <c r="AB72" s="147"/>
      <c r="AC72" s="146"/>
      <c r="AD72" s="146"/>
      <c r="AE72" s="148">
        <v>0.98040000000000005</v>
      </c>
      <c r="AF72" s="148">
        <v>0.98</v>
      </c>
      <c r="AG72" s="148"/>
      <c r="AH72" s="148"/>
      <c r="AI72" s="148"/>
      <c r="AJ72" s="148"/>
      <c r="AK72" s="148"/>
      <c r="AL72" s="148"/>
      <c r="AM72" s="172"/>
      <c r="AN72" s="172"/>
    </row>
    <row r="73" spans="1:40" x14ac:dyDescent="0.3">
      <c r="A73" s="140">
        <f t="shared" si="34"/>
        <v>72</v>
      </c>
      <c r="B73" s="141" t="str">
        <f t="shared" si="30"/>
        <v>March</v>
      </c>
      <c r="C73" s="141">
        <f t="shared" si="30"/>
        <v>3</v>
      </c>
      <c r="D73" s="142">
        <v>45352</v>
      </c>
      <c r="E73" s="143">
        <f t="shared" si="24"/>
        <v>2024</v>
      </c>
      <c r="F73" s="143" t="s">
        <v>1180</v>
      </c>
      <c r="G73" s="144">
        <f t="shared" si="23"/>
        <v>31</v>
      </c>
      <c r="H73" s="149">
        <f t="shared" si="31"/>
        <v>197.2</v>
      </c>
      <c r="I73" s="149">
        <f t="shared" si="31"/>
        <v>210.4</v>
      </c>
      <c r="J73" s="146"/>
      <c r="K73" s="145"/>
      <c r="L73" s="144"/>
      <c r="M73" s="153">
        <f t="shared" si="21"/>
        <v>1204.1880014021069</v>
      </c>
      <c r="N73" s="147">
        <v>8.0208999999999993</v>
      </c>
      <c r="O73" s="148">
        <f t="shared" si="35"/>
        <v>0.71355172148533519</v>
      </c>
      <c r="P73" s="146">
        <f t="shared" si="36"/>
        <v>6.7870967741935484</v>
      </c>
      <c r="Q73" s="144">
        <f>COUNTIFS('Daily KPI'!$D:$D,D73,'Daily KPI'!$O:$O,"&gt;0")</f>
        <v>0</v>
      </c>
      <c r="R73" s="147">
        <f t="shared" si="37"/>
        <v>0</v>
      </c>
      <c r="S73" s="147">
        <f>SUMIF($F$2:F73,F73,$R$2:R73)</f>
        <v>0</v>
      </c>
      <c r="T73" s="146">
        <f t="shared" si="38"/>
        <v>38.844774238777646</v>
      </c>
      <c r="U73" s="147">
        <f t="shared" si="39"/>
        <v>0</v>
      </c>
      <c r="V73" s="147">
        <f>SUMIF($F$2:F73,F73,$U$2:U73)</f>
        <v>0</v>
      </c>
      <c r="W73" s="148">
        <f t="shared" si="40"/>
        <v>0.20178935779639051</v>
      </c>
      <c r="X73" s="148" t="str">
        <f t="shared" si="32"/>
        <v/>
      </c>
      <c r="Y73" s="148" t="str">
        <f t="shared" si="33"/>
        <v/>
      </c>
      <c r="Z73" s="146" t="str">
        <f>IFERROR(AVERAGEIF('Daily KPI'!$D:$D,Table14[[#This Row],[Month]],'Daily KPI'!$AB:$AB),"")</f>
        <v/>
      </c>
      <c r="AA73" s="149">
        <f>IFERROR(AVERAGEIF($F$2:F73,F73,$N$2:N73),"")</f>
        <v>8.0208999999999993</v>
      </c>
      <c r="AB73" s="147"/>
      <c r="AC73" s="146"/>
      <c r="AD73" s="146"/>
      <c r="AE73" s="148">
        <v>0.98040000000000005</v>
      </c>
      <c r="AF73" s="148">
        <v>0.98</v>
      </c>
      <c r="AG73" s="148"/>
      <c r="AH73" s="148"/>
      <c r="AI73" s="148"/>
      <c r="AJ73" s="148"/>
      <c r="AK73" s="148"/>
      <c r="AL73" s="148"/>
      <c r="AM73" s="172"/>
      <c r="AN73" s="172"/>
    </row>
    <row r="74" spans="1:40" x14ac:dyDescent="0.3">
      <c r="A74" s="140">
        <f t="shared" si="34"/>
        <v>73</v>
      </c>
      <c r="B74" s="141" t="str">
        <f t="shared" si="30"/>
        <v>April</v>
      </c>
      <c r="C74" s="141">
        <f t="shared" si="30"/>
        <v>4</v>
      </c>
      <c r="D74" s="142">
        <v>45383</v>
      </c>
      <c r="E74" s="143">
        <f t="shared" si="24"/>
        <v>2024</v>
      </c>
      <c r="F74" s="143" t="s">
        <v>1181</v>
      </c>
      <c r="G74" s="144">
        <f t="shared" si="23"/>
        <v>30</v>
      </c>
      <c r="H74" s="149">
        <f t="shared" si="31"/>
        <v>193.6</v>
      </c>
      <c r="I74" s="149">
        <f t="shared" si="31"/>
        <v>191.7</v>
      </c>
      <c r="J74" s="146"/>
      <c r="K74" s="145"/>
      <c r="L74" s="144"/>
      <c r="M74" s="153">
        <f t="shared" si="21"/>
        <v>1055.6537985859879</v>
      </c>
      <c r="N74" s="147">
        <v>8.0208999999999993</v>
      </c>
      <c r="O74" s="148">
        <f t="shared" si="35"/>
        <v>0.68655652664663702</v>
      </c>
      <c r="P74" s="146">
        <f t="shared" si="36"/>
        <v>6.39</v>
      </c>
      <c r="Q74" s="144">
        <f>COUNTIFS('Daily KPI'!$D:$D,D74,'Daily KPI'!$O:$O,"&gt;0")</f>
        <v>0</v>
      </c>
      <c r="R74" s="147">
        <f t="shared" si="37"/>
        <v>0</v>
      </c>
      <c r="S74" s="147">
        <f>SUMIF($F$2:F74,F74,$R$2:R74)</f>
        <v>0</v>
      </c>
      <c r="T74" s="146">
        <f t="shared" si="38"/>
        <v>35.188459952866268</v>
      </c>
      <c r="U74" s="147">
        <f t="shared" si="39"/>
        <v>0</v>
      </c>
      <c r="V74" s="147">
        <f>SUMIF($F$2:F74,F74,$U$2:U74)</f>
        <v>0</v>
      </c>
      <c r="W74" s="148">
        <f t="shared" si="40"/>
        <v>0.18279567521966711</v>
      </c>
      <c r="X74" s="148" t="str">
        <f t="shared" si="32"/>
        <v/>
      </c>
      <c r="Y74" s="148" t="str">
        <f t="shared" si="33"/>
        <v/>
      </c>
      <c r="Z74" s="146" t="str">
        <f>IFERROR(AVERAGEIF('Daily KPI'!$D:$D,Table14[[#This Row],[Month]],'Daily KPI'!$AB:$AB),"")</f>
        <v/>
      </c>
      <c r="AA74" s="149">
        <f>IFERROR(AVERAGEIF($F$2:F74,F74,$N$2:N74),"")</f>
        <v>8.0208999999999993</v>
      </c>
      <c r="AB74" s="147"/>
      <c r="AC74" s="146"/>
      <c r="AD74" s="146"/>
      <c r="AE74" s="148">
        <v>0.98040000000000005</v>
      </c>
      <c r="AF74" s="148">
        <v>0.98</v>
      </c>
      <c r="AG74" s="148"/>
      <c r="AH74" s="148"/>
      <c r="AI74" s="148"/>
      <c r="AJ74" s="148"/>
      <c r="AK74" s="148"/>
      <c r="AL74" s="148"/>
      <c r="AM74" s="172"/>
      <c r="AN74" s="172"/>
    </row>
    <row r="75" spans="1:40" x14ac:dyDescent="0.3">
      <c r="A75" s="140">
        <f t="shared" si="34"/>
        <v>74</v>
      </c>
      <c r="B75" s="141" t="str">
        <f t="shared" si="30"/>
        <v>May</v>
      </c>
      <c r="C75" s="141">
        <f t="shared" si="30"/>
        <v>5</v>
      </c>
      <c r="D75" s="142">
        <v>45413</v>
      </c>
      <c r="E75" s="143">
        <f t="shared" si="24"/>
        <v>2024</v>
      </c>
      <c r="F75" s="143" t="s">
        <v>1181</v>
      </c>
      <c r="G75" s="144">
        <f t="shared" si="23"/>
        <v>31</v>
      </c>
      <c r="H75" s="149">
        <f t="shared" si="31"/>
        <v>198.6</v>
      </c>
      <c r="I75" s="149">
        <f t="shared" si="31"/>
        <v>186.4</v>
      </c>
      <c r="J75" s="146"/>
      <c r="K75" s="145"/>
      <c r="L75" s="144"/>
      <c r="M75" s="153">
        <f t="shared" si="21"/>
        <v>1060.9585915437065</v>
      </c>
      <c r="N75" s="147">
        <v>8.0208999999999993</v>
      </c>
      <c r="O75" s="148">
        <f t="shared" si="35"/>
        <v>0.70962584466409462</v>
      </c>
      <c r="P75" s="146">
        <f t="shared" si="36"/>
        <v>6.0129032258064514</v>
      </c>
      <c r="Q75" s="144">
        <f>COUNTIFS('Daily KPI'!$D:$D,D75,'Daily KPI'!$O:$O,"&gt;0")</f>
        <v>0</v>
      </c>
      <c r="R75" s="147">
        <f t="shared" si="37"/>
        <v>0</v>
      </c>
      <c r="S75" s="147">
        <f>SUMIF($F$2:F75,F75,$R$2:R75)</f>
        <v>0</v>
      </c>
      <c r="T75" s="146">
        <f t="shared" si="38"/>
        <v>34.224470694958271</v>
      </c>
      <c r="U75" s="147">
        <f t="shared" si="39"/>
        <v>0</v>
      </c>
      <c r="V75" s="147">
        <f>SUMIF($F$2:F75,F75,$U$2:U75)</f>
        <v>0</v>
      </c>
      <c r="W75" s="148">
        <f t="shared" si="40"/>
        <v>0.17778798043734842</v>
      </c>
      <c r="X75" s="148" t="str">
        <f t="shared" si="32"/>
        <v/>
      </c>
      <c r="Y75" s="148" t="str">
        <f t="shared" si="33"/>
        <v/>
      </c>
      <c r="Z75" s="146" t="str">
        <f>IFERROR(AVERAGEIF('Daily KPI'!$D:$D,Table14[[#This Row],[Month]],'Daily KPI'!$AB:$AB),"")</f>
        <v/>
      </c>
      <c r="AA75" s="149">
        <f>IFERROR(AVERAGEIF($F$2:F75,F75,$N$2:N75),"")</f>
        <v>8.0208999999999993</v>
      </c>
      <c r="AB75" s="147"/>
      <c r="AC75" s="146"/>
      <c r="AD75" s="146"/>
      <c r="AE75" s="148">
        <v>0.98040000000000005</v>
      </c>
      <c r="AF75" s="148">
        <v>0.98</v>
      </c>
      <c r="AG75" s="148"/>
      <c r="AH75" s="148"/>
      <c r="AI75" s="148"/>
      <c r="AJ75" s="148"/>
      <c r="AK75" s="148"/>
      <c r="AL75" s="148"/>
      <c r="AM75" s="172"/>
      <c r="AN75" s="172"/>
    </row>
    <row r="76" spans="1:40" x14ac:dyDescent="0.3">
      <c r="A76" s="140">
        <f t="shared" si="34"/>
        <v>75</v>
      </c>
      <c r="B76" s="141" t="str">
        <f t="shared" si="30"/>
        <v>June</v>
      </c>
      <c r="C76" s="141">
        <f t="shared" si="30"/>
        <v>6</v>
      </c>
      <c r="D76" s="142">
        <v>45444</v>
      </c>
      <c r="E76" s="143">
        <f t="shared" si="24"/>
        <v>2024</v>
      </c>
      <c r="F76" s="143" t="s">
        <v>1181</v>
      </c>
      <c r="G76" s="144">
        <f t="shared" si="23"/>
        <v>30</v>
      </c>
      <c r="H76" s="149">
        <f t="shared" si="31"/>
        <v>154.80000000000001</v>
      </c>
      <c r="I76" s="149">
        <f t="shared" si="31"/>
        <v>142.80000000000001</v>
      </c>
      <c r="J76" s="146"/>
      <c r="K76" s="145"/>
      <c r="L76" s="144"/>
      <c r="M76" s="153">
        <f t="shared" si="21"/>
        <v>790.41415070006133</v>
      </c>
      <c r="N76" s="147">
        <v>8.0208999999999993</v>
      </c>
      <c r="O76" s="148">
        <f t="shared" si="35"/>
        <v>0.6900862870925315</v>
      </c>
      <c r="P76" s="146">
        <f t="shared" si="36"/>
        <v>4.7600000000000007</v>
      </c>
      <c r="Q76" s="144">
        <f>COUNTIFS('Daily KPI'!$D:$D,D76,'Daily KPI'!$O:$O,"&gt;0")</f>
        <v>0</v>
      </c>
      <c r="R76" s="147">
        <f t="shared" si="37"/>
        <v>0</v>
      </c>
      <c r="S76" s="147">
        <f>SUMIF($F$2:F76,F76,$R$2:R76)</f>
        <v>0</v>
      </c>
      <c r="T76" s="146">
        <f t="shared" si="38"/>
        <v>26.347138356668712</v>
      </c>
      <c r="U76" s="147">
        <f t="shared" si="39"/>
        <v>0</v>
      </c>
      <c r="V76" s="147">
        <f>SUMIF($F$2:F76,F76,$U$2:U76)</f>
        <v>0</v>
      </c>
      <c r="W76" s="148">
        <f t="shared" si="40"/>
        <v>0.13686711360668541</v>
      </c>
      <c r="X76" s="148" t="str">
        <f t="shared" si="32"/>
        <v/>
      </c>
      <c r="Y76" s="148" t="str">
        <f t="shared" si="33"/>
        <v/>
      </c>
      <c r="Z76" s="146" t="str">
        <f>IFERROR(AVERAGEIF('Daily KPI'!$D:$D,Table14[[#This Row],[Month]],'Daily KPI'!$AB:$AB),"")</f>
        <v/>
      </c>
      <c r="AA76" s="149">
        <f>IFERROR(AVERAGEIF($F$2:F76,F76,$N$2:N76),"")</f>
        <v>8.0208999999999993</v>
      </c>
      <c r="AB76" s="147"/>
      <c r="AC76" s="146"/>
      <c r="AD76" s="146"/>
      <c r="AE76" s="148">
        <v>0.98040000000000005</v>
      </c>
      <c r="AF76" s="148">
        <v>0.98</v>
      </c>
      <c r="AG76" s="148"/>
      <c r="AH76" s="148"/>
      <c r="AI76" s="148"/>
      <c r="AJ76" s="148"/>
      <c r="AK76" s="148"/>
      <c r="AL76" s="148"/>
      <c r="AM76" s="172"/>
      <c r="AN76" s="172"/>
    </row>
    <row r="77" spans="1:40" x14ac:dyDescent="0.3">
      <c r="A77" s="140">
        <f t="shared" si="34"/>
        <v>76</v>
      </c>
      <c r="B77" s="141" t="str">
        <f t="shared" si="30"/>
        <v>July</v>
      </c>
      <c r="C77" s="141">
        <f t="shared" si="30"/>
        <v>7</v>
      </c>
      <c r="D77" s="142">
        <v>45474</v>
      </c>
      <c r="E77" s="143">
        <f t="shared" si="24"/>
        <v>2024</v>
      </c>
      <c r="F77" s="143" t="s">
        <v>1181</v>
      </c>
      <c r="G77" s="144">
        <f t="shared" si="23"/>
        <v>31</v>
      </c>
      <c r="H77" s="149">
        <f t="shared" si="31"/>
        <v>134.4</v>
      </c>
      <c r="I77" s="149">
        <f t="shared" si="31"/>
        <v>125.4</v>
      </c>
      <c r="J77" s="146"/>
      <c r="K77" s="145"/>
      <c r="L77" s="144"/>
      <c r="M77" s="153">
        <f t="shared" si="21"/>
        <v>721.45184224972047</v>
      </c>
      <c r="N77" s="147">
        <v>8.0208999999999993</v>
      </c>
      <c r="O77" s="148">
        <f t="shared" si="35"/>
        <v>0.71727667514245075</v>
      </c>
      <c r="P77" s="146">
        <f t="shared" si="36"/>
        <v>4.0451612903225804</v>
      </c>
      <c r="Q77" s="144">
        <f>COUNTIFS('Daily KPI'!$D:$D,D77,'Daily KPI'!$O:$O,"&gt;0")</f>
        <v>0</v>
      </c>
      <c r="R77" s="147">
        <f t="shared" si="37"/>
        <v>0</v>
      </c>
      <c r="S77" s="147">
        <f>SUMIF($F$2:F77,F77,$R$2:R77)</f>
        <v>0</v>
      </c>
      <c r="T77" s="146">
        <f t="shared" si="38"/>
        <v>23.27264007257163</v>
      </c>
      <c r="U77" s="147">
        <f t="shared" si="39"/>
        <v>0</v>
      </c>
      <c r="V77" s="147">
        <f>SUMIF($F$2:F77,F77,$U$2:U77)</f>
        <v>0</v>
      </c>
      <c r="W77" s="148">
        <f t="shared" si="40"/>
        <v>0.12089582669739696</v>
      </c>
      <c r="X77" s="148" t="str">
        <f t="shared" si="32"/>
        <v/>
      </c>
      <c r="Y77" s="148" t="str">
        <f t="shared" si="33"/>
        <v/>
      </c>
      <c r="Z77" s="146" t="str">
        <f>IFERROR(AVERAGEIF('Daily KPI'!$D:$D,Table14[[#This Row],[Month]],'Daily KPI'!$AB:$AB),"")</f>
        <v/>
      </c>
      <c r="AA77" s="149">
        <f>IFERROR(AVERAGEIF($F$2:F77,F77,$N$2:N77),"")</f>
        <v>8.0208999999999993</v>
      </c>
      <c r="AB77" s="147"/>
      <c r="AC77" s="146"/>
      <c r="AD77" s="146"/>
      <c r="AE77" s="148">
        <v>0.98040000000000005</v>
      </c>
      <c r="AF77" s="148">
        <v>0.98</v>
      </c>
      <c r="AG77" s="148"/>
      <c r="AH77" s="148"/>
      <c r="AI77" s="148"/>
      <c r="AJ77" s="148"/>
      <c r="AK77" s="148"/>
      <c r="AL77" s="148"/>
      <c r="AM77" s="172"/>
      <c r="AN77" s="172"/>
    </row>
    <row r="78" spans="1:40" x14ac:dyDescent="0.3">
      <c r="A78" s="140">
        <f t="shared" si="34"/>
        <v>77</v>
      </c>
      <c r="B78" s="141" t="str">
        <f t="shared" si="30"/>
        <v>August</v>
      </c>
      <c r="C78" s="141">
        <f t="shared" si="30"/>
        <v>8</v>
      </c>
      <c r="D78" s="142">
        <v>45505</v>
      </c>
      <c r="E78" s="143">
        <f t="shared" si="24"/>
        <v>2024</v>
      </c>
      <c r="F78" s="143" t="s">
        <v>1181</v>
      </c>
      <c r="G78" s="144">
        <f t="shared" si="23"/>
        <v>31</v>
      </c>
      <c r="H78" s="149">
        <f t="shared" si="31"/>
        <v>134.6</v>
      </c>
      <c r="I78" s="149">
        <f t="shared" si="31"/>
        <v>130.69999999999999</v>
      </c>
      <c r="J78" s="146"/>
      <c r="K78" s="145"/>
      <c r="L78" s="144"/>
      <c r="M78" s="153">
        <f t="shared" si="21"/>
        <v>763.89018591146873</v>
      </c>
      <c r="N78" s="147">
        <v>8.0208999999999993</v>
      </c>
      <c r="O78" s="148">
        <f t="shared" si="35"/>
        <v>0.72867226748797886</v>
      </c>
      <c r="P78" s="146">
        <f t="shared" si="36"/>
        <v>4.2161290322580642</v>
      </c>
      <c r="Q78" s="144">
        <f>COUNTIFS('Daily KPI'!$D:$D,D78,'Daily KPI'!$O:$O,"&gt;0")</f>
        <v>0</v>
      </c>
      <c r="R78" s="147">
        <f t="shared" si="37"/>
        <v>0</v>
      </c>
      <c r="S78" s="147">
        <f>SUMIF($F$2:F78,F78,$R$2:R78)</f>
        <v>0</v>
      </c>
      <c r="T78" s="146">
        <f t="shared" si="38"/>
        <v>24.641618900369959</v>
      </c>
      <c r="U78" s="147">
        <f t="shared" si="39"/>
        <v>0</v>
      </c>
      <c r="V78" s="147">
        <f>SUMIF($F$2:F78,F78,$U$2:U78)</f>
        <v>0</v>
      </c>
      <c r="W78" s="148">
        <f t="shared" si="40"/>
        <v>0.12800734591489088</v>
      </c>
      <c r="X78" s="148" t="str">
        <f t="shared" si="32"/>
        <v/>
      </c>
      <c r="Y78" s="148" t="str">
        <f t="shared" si="33"/>
        <v/>
      </c>
      <c r="Z78" s="146" t="str">
        <f>IFERROR(AVERAGEIF('Daily KPI'!$D:$D,Table14[[#This Row],[Month]],'Daily KPI'!$AB:$AB),"")</f>
        <v/>
      </c>
      <c r="AA78" s="149">
        <f>IFERROR(AVERAGEIF($F$2:F78,F78,$N$2:N78),"")</f>
        <v>8.0208999999999993</v>
      </c>
      <c r="AB78" s="147"/>
      <c r="AC78" s="146"/>
      <c r="AD78" s="146"/>
      <c r="AE78" s="148">
        <v>0.98040000000000005</v>
      </c>
      <c r="AF78" s="148">
        <v>0.98</v>
      </c>
      <c r="AG78" s="148"/>
      <c r="AH78" s="148"/>
      <c r="AI78" s="148"/>
      <c r="AJ78" s="148"/>
      <c r="AK78" s="148"/>
      <c r="AL78" s="148"/>
      <c r="AM78" s="172"/>
      <c r="AN78" s="172"/>
    </row>
    <row r="79" spans="1:40" x14ac:dyDescent="0.3">
      <c r="A79" s="140">
        <f t="shared" si="34"/>
        <v>78</v>
      </c>
      <c r="B79" s="141" t="str">
        <f t="shared" ref="B79:C94" si="41">B67</f>
        <v>September</v>
      </c>
      <c r="C79" s="141">
        <f t="shared" si="41"/>
        <v>9</v>
      </c>
      <c r="D79" s="142">
        <v>45536</v>
      </c>
      <c r="E79" s="143">
        <f t="shared" si="24"/>
        <v>2024</v>
      </c>
      <c r="F79" s="143" t="s">
        <v>1181</v>
      </c>
      <c r="G79" s="144">
        <f t="shared" si="23"/>
        <v>30</v>
      </c>
      <c r="H79" s="149">
        <f t="shared" ref="H79:I94" si="42">H67</f>
        <v>142.5</v>
      </c>
      <c r="I79" s="149">
        <f t="shared" si="42"/>
        <v>145.4</v>
      </c>
      <c r="J79" s="146"/>
      <c r="K79" s="145"/>
      <c r="L79" s="144"/>
      <c r="M79" s="153">
        <f t="shared" ref="M79:M85" si="43">M67</f>
        <v>827.54770140409107</v>
      </c>
      <c r="N79" s="147">
        <v>8.0208999999999993</v>
      </c>
      <c r="O79" s="148">
        <f t="shared" si="35"/>
        <v>0.70958680060111445</v>
      </c>
      <c r="P79" s="146">
        <f t="shared" si="36"/>
        <v>4.8466666666666667</v>
      </c>
      <c r="Q79" s="144">
        <f>COUNTIFS('Daily KPI'!$D:$D,D79,'Daily KPI'!$O:$O,"&gt;0")</f>
        <v>0</v>
      </c>
      <c r="R79" s="147">
        <f t="shared" si="37"/>
        <v>0</v>
      </c>
      <c r="S79" s="147">
        <f>SUMIF($F$2:F79,F79,$R$2:R79)</f>
        <v>0</v>
      </c>
      <c r="T79" s="146">
        <f t="shared" si="38"/>
        <v>27.58492338013637</v>
      </c>
      <c r="U79" s="147">
        <f t="shared" si="39"/>
        <v>0</v>
      </c>
      <c r="V79" s="147">
        <f>SUMIF($F$2:F79,F79,$U$2:U79)</f>
        <v>0</v>
      </c>
      <c r="W79" s="148">
        <f t="shared" si="40"/>
        <v>0.14329711223250285</v>
      </c>
      <c r="X79" s="148" t="str">
        <f t="shared" si="32"/>
        <v/>
      </c>
      <c r="Y79" s="148" t="str">
        <f t="shared" si="33"/>
        <v/>
      </c>
      <c r="Z79" s="146" t="str">
        <f>IFERROR(AVERAGEIF('Daily KPI'!$D:$D,Table14[[#This Row],[Month]],'Daily KPI'!$AB:$AB),"")</f>
        <v/>
      </c>
      <c r="AA79" s="149">
        <f>IFERROR(AVERAGEIF($F$2:F79,F79,$N$2:N79),"")</f>
        <v>8.0208999999999993</v>
      </c>
      <c r="AB79" s="147"/>
      <c r="AC79" s="146"/>
      <c r="AD79" s="146"/>
      <c r="AE79" s="148">
        <v>0.98040000000000005</v>
      </c>
      <c r="AF79" s="148">
        <v>0.98</v>
      </c>
      <c r="AG79" s="148"/>
      <c r="AH79" s="148"/>
      <c r="AI79" s="148"/>
      <c r="AJ79" s="148"/>
      <c r="AK79" s="148"/>
      <c r="AL79" s="148"/>
      <c r="AM79" s="172"/>
      <c r="AN79" s="172"/>
    </row>
    <row r="80" spans="1:40" x14ac:dyDescent="0.3">
      <c r="A80" s="140">
        <f t="shared" si="34"/>
        <v>79</v>
      </c>
      <c r="B80" s="141" t="str">
        <f t="shared" si="41"/>
        <v>October</v>
      </c>
      <c r="C80" s="141">
        <f t="shared" si="41"/>
        <v>10</v>
      </c>
      <c r="D80" s="142">
        <v>45566</v>
      </c>
      <c r="E80" s="143">
        <f t="shared" si="24"/>
        <v>2024</v>
      </c>
      <c r="F80" s="143" t="s">
        <v>1181</v>
      </c>
      <c r="G80" s="144">
        <f t="shared" ref="G80:G96" si="44">DAY(EOMONTH(D80,0))</f>
        <v>31</v>
      </c>
      <c r="H80" s="149">
        <f t="shared" si="42"/>
        <v>145.69999999999999</v>
      </c>
      <c r="I80" s="149">
        <f t="shared" si="42"/>
        <v>158.80000000000001</v>
      </c>
      <c r="J80" s="146"/>
      <c r="K80" s="145"/>
      <c r="L80" s="144"/>
      <c r="M80" s="153">
        <f t="shared" si="43"/>
        <v>938.9483535161803</v>
      </c>
      <c r="N80" s="147">
        <v>8.0208999999999993</v>
      </c>
      <c r="O80" s="148">
        <f t="shared" si="35"/>
        <v>0.73717076724916697</v>
      </c>
      <c r="P80" s="146">
        <f t="shared" si="36"/>
        <v>5.1225806451612907</v>
      </c>
      <c r="Q80" s="144">
        <f>COUNTIFS('Daily KPI'!$D:$D,D80,'Daily KPI'!$O:$O,"&gt;0")</f>
        <v>0</v>
      </c>
      <c r="R80" s="147">
        <f t="shared" si="37"/>
        <v>0</v>
      </c>
      <c r="S80" s="147">
        <f>SUMIF($F$2:F80,F80,$R$2:R80)</f>
        <v>0</v>
      </c>
      <c r="T80" s="146">
        <f t="shared" si="38"/>
        <v>30.288656565038075</v>
      </c>
      <c r="U80" s="147">
        <f t="shared" si="39"/>
        <v>0</v>
      </c>
      <c r="V80" s="147">
        <f>SUMIF($F$2:F80,F80,$U$2:U80)</f>
        <v>0</v>
      </c>
      <c r="W80" s="148">
        <f t="shared" si="40"/>
        <v>0.15734236268705337</v>
      </c>
      <c r="X80" s="148" t="str">
        <f t="shared" si="32"/>
        <v/>
      </c>
      <c r="Y80" s="148" t="str">
        <f t="shared" si="33"/>
        <v/>
      </c>
      <c r="Z80" s="146" t="str">
        <f>IFERROR(AVERAGEIF('Daily KPI'!$D:$D,Table14[[#This Row],[Month]],'Daily KPI'!$AB:$AB),"")</f>
        <v/>
      </c>
      <c r="AA80" s="149">
        <f>IFERROR(AVERAGEIF($F$2:F80,F80,$N$2:N80),"")</f>
        <v>8.0208999999999993</v>
      </c>
      <c r="AB80" s="147"/>
      <c r="AC80" s="146"/>
      <c r="AD80" s="146"/>
      <c r="AE80" s="148">
        <v>0.98040000000000005</v>
      </c>
      <c r="AF80" s="148">
        <v>0.98</v>
      </c>
      <c r="AG80" s="148"/>
      <c r="AH80" s="148"/>
      <c r="AI80" s="148"/>
      <c r="AJ80" s="148"/>
      <c r="AK80" s="148"/>
      <c r="AL80" s="148"/>
      <c r="AM80" s="172"/>
      <c r="AN80" s="172"/>
    </row>
    <row r="81" spans="1:40" x14ac:dyDescent="0.3">
      <c r="A81" s="140">
        <f t="shared" si="34"/>
        <v>80</v>
      </c>
      <c r="B81" s="141" t="str">
        <f t="shared" si="41"/>
        <v>November</v>
      </c>
      <c r="C81" s="141">
        <f t="shared" si="41"/>
        <v>11</v>
      </c>
      <c r="D81" s="142">
        <v>45597</v>
      </c>
      <c r="E81" s="143">
        <f t="shared" si="24"/>
        <v>2024</v>
      </c>
      <c r="F81" s="143" t="s">
        <v>1181</v>
      </c>
      <c r="G81" s="144">
        <f t="shared" si="44"/>
        <v>30</v>
      </c>
      <c r="H81" s="149">
        <f t="shared" si="42"/>
        <v>138.9</v>
      </c>
      <c r="I81" s="149">
        <f t="shared" si="42"/>
        <v>163</v>
      </c>
      <c r="J81" s="146"/>
      <c r="K81" s="145"/>
      <c r="L81" s="144"/>
      <c r="M81" s="153">
        <f t="shared" si="43"/>
        <v>944.25314647389882</v>
      </c>
      <c r="N81" s="147">
        <v>8.0208999999999993</v>
      </c>
      <c r="O81" s="148">
        <f t="shared" si="35"/>
        <v>0.7222336756220531</v>
      </c>
      <c r="P81" s="146">
        <f t="shared" si="36"/>
        <v>5.4333333333333336</v>
      </c>
      <c r="Q81" s="144">
        <f>COUNTIFS('Daily KPI'!$D:$D,D81,'Daily KPI'!$O:$O,"&gt;0")</f>
        <v>0</v>
      </c>
      <c r="R81" s="147">
        <f t="shared" si="37"/>
        <v>0</v>
      </c>
      <c r="S81" s="147">
        <f>SUMIF($F$2:F81,F81,$R$2:R81)</f>
        <v>0</v>
      </c>
      <c r="T81" s="146">
        <f t="shared" si="38"/>
        <v>31.475104882463295</v>
      </c>
      <c r="U81" s="147">
        <f t="shared" si="39"/>
        <v>0</v>
      </c>
      <c r="V81" s="147">
        <f>SUMIF($F$2:F81,F81,$U$2:U81)</f>
        <v>0</v>
      </c>
      <c r="W81" s="148">
        <f t="shared" si="40"/>
        <v>0.1635056793422148</v>
      </c>
      <c r="X81" s="148" t="str">
        <f t="shared" si="32"/>
        <v/>
      </c>
      <c r="Y81" s="148" t="str">
        <f t="shared" si="33"/>
        <v/>
      </c>
      <c r="Z81" s="146" t="str">
        <f>IFERROR(AVERAGEIF('Daily KPI'!$D:$D,Table14[[#This Row],[Month]],'Daily KPI'!$AB:$AB),"")</f>
        <v/>
      </c>
      <c r="AA81" s="149">
        <f>IFERROR(AVERAGEIF($F$2:F81,F81,$N$2:N81),"")</f>
        <v>8.0208999999999993</v>
      </c>
      <c r="AB81" s="147"/>
      <c r="AC81" s="146"/>
      <c r="AD81" s="146"/>
      <c r="AE81" s="148">
        <v>0.98040000000000005</v>
      </c>
      <c r="AF81" s="148">
        <v>0.98</v>
      </c>
      <c r="AG81" s="148"/>
      <c r="AH81" s="148"/>
      <c r="AI81" s="148"/>
      <c r="AJ81" s="148"/>
      <c r="AK81" s="148"/>
      <c r="AL81" s="148"/>
      <c r="AM81" s="172"/>
      <c r="AN81" s="172"/>
    </row>
    <row r="82" spans="1:40" x14ac:dyDescent="0.3">
      <c r="A82" s="140">
        <f t="shared" si="34"/>
        <v>81</v>
      </c>
      <c r="B82" s="141" t="str">
        <f t="shared" si="41"/>
        <v>December</v>
      </c>
      <c r="C82" s="141">
        <f t="shared" si="41"/>
        <v>12</v>
      </c>
      <c r="D82" s="142">
        <v>45627</v>
      </c>
      <c r="E82" s="143">
        <f t="shared" si="24"/>
        <v>2024</v>
      </c>
      <c r="F82" s="143" t="s">
        <v>1181</v>
      </c>
      <c r="G82" s="144">
        <f t="shared" si="44"/>
        <v>31</v>
      </c>
      <c r="H82" s="149">
        <f t="shared" si="42"/>
        <v>134.69999999999999</v>
      </c>
      <c r="I82" s="149">
        <f t="shared" si="42"/>
        <v>163.69999999999999</v>
      </c>
      <c r="J82" s="146"/>
      <c r="K82" s="145"/>
      <c r="L82" s="144"/>
      <c r="M82" s="153">
        <f t="shared" si="43"/>
        <v>981.38669717792857</v>
      </c>
      <c r="N82" s="147">
        <v>8.0208999999999993</v>
      </c>
      <c r="O82" s="148">
        <f t="shared" si="35"/>
        <v>0.74742631726929265</v>
      </c>
      <c r="P82" s="146">
        <f t="shared" si="36"/>
        <v>5.2806451612903222</v>
      </c>
      <c r="Q82" s="144">
        <f>COUNTIFS('Daily KPI'!$D:$D,D82,'Daily KPI'!$O:$O,"&gt;0")</f>
        <v>0</v>
      </c>
      <c r="R82" s="147">
        <f t="shared" si="37"/>
        <v>0</v>
      </c>
      <c r="S82" s="147">
        <f>SUMIF($F$2:F82,F82,$R$2:R82)</f>
        <v>0</v>
      </c>
      <c r="T82" s="146">
        <f t="shared" si="38"/>
        <v>31.657635392836404</v>
      </c>
      <c r="U82" s="147">
        <f t="shared" si="39"/>
        <v>0</v>
      </c>
      <c r="V82" s="147">
        <f>SUMIF($F$2:F82,F82,$U$2:U82)</f>
        <v>0</v>
      </c>
      <c r="W82" s="148">
        <f t="shared" si="40"/>
        <v>0.16445388190454732</v>
      </c>
      <c r="X82" s="148" t="str">
        <f t="shared" si="32"/>
        <v/>
      </c>
      <c r="Y82" s="148" t="str">
        <f t="shared" si="33"/>
        <v/>
      </c>
      <c r="Z82" s="146" t="str">
        <f>IFERROR(AVERAGEIF('Daily KPI'!$D:$D,Table14[[#This Row],[Month]],'Daily KPI'!$AB:$AB),"")</f>
        <v/>
      </c>
      <c r="AA82" s="149">
        <f>IFERROR(AVERAGEIF($F$2:F82,F82,$N$2:N82),"")</f>
        <v>8.0208999999999993</v>
      </c>
      <c r="AB82" s="147"/>
      <c r="AC82" s="146"/>
      <c r="AD82" s="146"/>
      <c r="AE82" s="148">
        <v>0.98040000000000005</v>
      </c>
      <c r="AF82" s="148">
        <v>0.98</v>
      </c>
      <c r="AG82" s="148"/>
      <c r="AH82" s="148"/>
      <c r="AI82" s="148"/>
      <c r="AJ82" s="148"/>
      <c r="AK82" s="148"/>
      <c r="AL82" s="148"/>
      <c r="AM82" s="172"/>
      <c r="AN82" s="172"/>
    </row>
    <row r="83" spans="1:40" x14ac:dyDescent="0.3">
      <c r="A83" s="140">
        <f t="shared" si="34"/>
        <v>82</v>
      </c>
      <c r="B83" s="141" t="str">
        <f t="shared" si="41"/>
        <v>January</v>
      </c>
      <c r="C83" s="141">
        <f t="shared" si="41"/>
        <v>1</v>
      </c>
      <c r="D83" s="142">
        <v>45658</v>
      </c>
      <c r="E83" s="143">
        <f t="shared" si="24"/>
        <v>2025</v>
      </c>
      <c r="F83" s="143" t="s">
        <v>1181</v>
      </c>
      <c r="G83" s="144">
        <f t="shared" si="44"/>
        <v>31</v>
      </c>
      <c r="H83" s="149">
        <f t="shared" si="42"/>
        <v>151.6</v>
      </c>
      <c r="I83" s="149">
        <f t="shared" si="42"/>
        <v>183.9</v>
      </c>
      <c r="J83" s="146"/>
      <c r="K83" s="145"/>
      <c r="L83" s="144"/>
      <c r="M83" s="153">
        <f t="shared" si="43"/>
        <v>1087.4825563322993</v>
      </c>
      <c r="N83" s="147">
        <v>8.0208999999999993</v>
      </c>
      <c r="O83" s="148">
        <f t="shared" si="35"/>
        <v>0.73725456161784642</v>
      </c>
      <c r="P83" s="146">
        <f t="shared" si="36"/>
        <v>5.9322580645161294</v>
      </c>
      <c r="Q83" s="144">
        <f>COUNTIFS('Daily KPI'!$D:$D,D83,'Daily KPI'!$O:$O,"&gt;0")</f>
        <v>0</v>
      </c>
      <c r="R83" s="147">
        <f t="shared" si="37"/>
        <v>0</v>
      </c>
      <c r="S83" s="147">
        <f>SUMIF($F$2:F83,F83,$R$2:R83)</f>
        <v>0</v>
      </c>
      <c r="T83" s="146">
        <f t="shared" si="38"/>
        <v>35.080082462332236</v>
      </c>
      <c r="U83" s="147">
        <f t="shared" si="39"/>
        <v>0</v>
      </c>
      <c r="V83" s="147">
        <f>SUMIF($F$2:F83,F83,$U$2:U83)</f>
        <v>0</v>
      </c>
      <c r="W83" s="148">
        <f t="shared" si="40"/>
        <v>0.18223267994828218</v>
      </c>
      <c r="X83" s="148" t="str">
        <f t="shared" si="32"/>
        <v/>
      </c>
      <c r="Y83" s="148" t="str">
        <f t="shared" si="33"/>
        <v/>
      </c>
      <c r="Z83" s="146" t="str">
        <f>IFERROR(AVERAGEIF('Daily KPI'!$D:$D,Table14[[#This Row],[Month]],'Daily KPI'!$AB:$AB),"")</f>
        <v/>
      </c>
      <c r="AA83" s="149">
        <f>IFERROR(AVERAGEIF($F$2:F83,F83,$N$2:N83),"")</f>
        <v>8.0208999999999993</v>
      </c>
      <c r="AB83" s="147"/>
      <c r="AC83" s="146"/>
      <c r="AD83" s="146"/>
      <c r="AE83" s="148">
        <v>0.98040000000000005</v>
      </c>
      <c r="AF83" s="148">
        <v>0.98</v>
      </c>
      <c r="AG83" s="148"/>
      <c r="AH83" s="148"/>
      <c r="AI83" s="148"/>
      <c r="AJ83" s="148"/>
      <c r="AK83" s="148"/>
      <c r="AL83" s="148"/>
      <c r="AM83" s="172"/>
      <c r="AN83" s="172"/>
    </row>
    <row r="84" spans="1:40" x14ac:dyDescent="0.3">
      <c r="A84" s="140">
        <f t="shared" si="34"/>
        <v>83</v>
      </c>
      <c r="B84" s="141" t="str">
        <f t="shared" si="41"/>
        <v>February</v>
      </c>
      <c r="C84" s="141">
        <f t="shared" si="41"/>
        <v>2</v>
      </c>
      <c r="D84" s="142">
        <v>45689</v>
      </c>
      <c r="E84" s="143">
        <f t="shared" si="24"/>
        <v>2025</v>
      </c>
      <c r="F84" s="143" t="s">
        <v>1181</v>
      </c>
      <c r="G84" s="144">
        <f t="shared" si="44"/>
        <v>28</v>
      </c>
      <c r="H84" s="149">
        <f t="shared" si="42"/>
        <v>159.9</v>
      </c>
      <c r="I84" s="149">
        <f t="shared" si="42"/>
        <v>184</v>
      </c>
      <c r="J84" s="146"/>
      <c r="K84" s="145"/>
      <c r="L84" s="144"/>
      <c r="M84" s="153">
        <f t="shared" si="43"/>
        <v>1038.6058690088</v>
      </c>
      <c r="N84" s="147">
        <v>8.0208999999999993</v>
      </c>
      <c r="O84" s="148">
        <f t="shared" si="35"/>
        <v>0.70373612863622048</v>
      </c>
      <c r="P84" s="146">
        <f t="shared" si="36"/>
        <v>6.5714285714285712</v>
      </c>
      <c r="Q84" s="144">
        <f>COUNTIFS('Daily KPI'!$D:$D,D84,'Daily KPI'!$O:$O,"&gt;0")</f>
        <v>0</v>
      </c>
      <c r="R84" s="147">
        <f t="shared" si="37"/>
        <v>0</v>
      </c>
      <c r="S84" s="147">
        <f>SUMIF($F$2:F84,F84,$R$2:R84)</f>
        <v>0</v>
      </c>
      <c r="T84" s="146">
        <f t="shared" si="38"/>
        <v>37.093066750314286</v>
      </c>
      <c r="U84" s="147">
        <f t="shared" si="39"/>
        <v>0</v>
      </c>
      <c r="V84" s="147">
        <f>SUMIF($F$2:F84,F84,$U$2:U84)</f>
        <v>0</v>
      </c>
      <c r="W84" s="148">
        <f t="shared" si="40"/>
        <v>0.19268965426944132</v>
      </c>
      <c r="X84" s="148" t="str">
        <f t="shared" si="32"/>
        <v/>
      </c>
      <c r="Y84" s="148" t="str">
        <f t="shared" si="33"/>
        <v/>
      </c>
      <c r="Z84" s="146" t="str">
        <f>IFERROR(AVERAGEIF('Daily KPI'!$D:$D,Table14[[#This Row],[Month]],'Daily KPI'!$AB:$AB),"")</f>
        <v/>
      </c>
      <c r="AA84" s="149">
        <f>IFERROR(AVERAGEIF($F$2:F84,F84,$N$2:N84),"")</f>
        <v>8.0208999999999993</v>
      </c>
      <c r="AB84" s="147"/>
      <c r="AC84" s="146"/>
      <c r="AD84" s="146"/>
      <c r="AE84" s="148">
        <v>0.98040000000000005</v>
      </c>
      <c r="AF84" s="148">
        <v>0.98</v>
      </c>
      <c r="AG84" s="148"/>
      <c r="AH84" s="148"/>
      <c r="AI84" s="148"/>
      <c r="AJ84" s="148"/>
      <c r="AK84" s="148"/>
      <c r="AL84" s="148"/>
      <c r="AM84" s="172"/>
      <c r="AN84" s="172"/>
    </row>
    <row r="85" spans="1:40" x14ac:dyDescent="0.3">
      <c r="A85" s="140">
        <f t="shared" si="34"/>
        <v>84</v>
      </c>
      <c r="B85" s="141" t="str">
        <f t="shared" si="41"/>
        <v>March</v>
      </c>
      <c r="C85" s="141">
        <f t="shared" si="41"/>
        <v>3</v>
      </c>
      <c r="D85" s="142">
        <v>45717</v>
      </c>
      <c r="E85" s="143">
        <f t="shared" si="24"/>
        <v>2025</v>
      </c>
      <c r="F85" s="143" t="s">
        <v>1181</v>
      </c>
      <c r="G85" s="144">
        <f t="shared" si="44"/>
        <v>31</v>
      </c>
      <c r="H85" s="149">
        <f t="shared" si="42"/>
        <v>197.2</v>
      </c>
      <c r="I85" s="149">
        <f t="shared" si="42"/>
        <v>210.4</v>
      </c>
      <c r="J85" s="146"/>
      <c r="K85" s="145"/>
      <c r="L85" s="144"/>
      <c r="M85" s="153">
        <f t="shared" si="43"/>
        <v>1204.1880014021069</v>
      </c>
      <c r="N85" s="147">
        <v>8.0208999999999993</v>
      </c>
      <c r="O85" s="148">
        <f t="shared" si="35"/>
        <v>0.71355172148533519</v>
      </c>
      <c r="P85" s="146">
        <f t="shared" si="36"/>
        <v>6.7870967741935484</v>
      </c>
      <c r="Q85" s="144">
        <f>COUNTIFS('Daily KPI'!$D:$D,D85,'Daily KPI'!$O:$O,"&gt;0")</f>
        <v>2</v>
      </c>
      <c r="R85" s="147">
        <f t="shared" si="37"/>
        <v>13.574193548387097</v>
      </c>
      <c r="S85" s="147">
        <f>SUMIF($F$2:F85,F85,$R$2:R85)</f>
        <v>13.574193548387097</v>
      </c>
      <c r="T85" s="146">
        <f t="shared" si="38"/>
        <v>38.844774238777646</v>
      </c>
      <c r="U85" s="147">
        <f t="shared" si="39"/>
        <v>77.689548477555292</v>
      </c>
      <c r="V85" s="147">
        <f>SUMIF($F$2:F85,F85,$U$2:U85)</f>
        <v>77.689548477555292</v>
      </c>
      <c r="W85" s="148">
        <f t="shared" si="40"/>
        <v>0.20178935779639051</v>
      </c>
      <c r="X85" s="148">
        <f t="shared" si="32"/>
        <v>0.20178935779639051</v>
      </c>
      <c r="Y85" s="148">
        <f t="shared" si="33"/>
        <v>0.20178935779639051</v>
      </c>
      <c r="Z85" s="146">
        <f>IFERROR(AVERAGEIF('Daily KPI'!$D:$D,Table14[[#This Row],[Month]],'Daily KPI'!$AB:$AB),"")</f>
        <v>8.0208999999999993</v>
      </c>
      <c r="AA85" s="149">
        <f>IFERROR(AVERAGEIF($F$2:F85,F85,$N$2:N85),"")</f>
        <v>8.0208999999999993</v>
      </c>
      <c r="AB85" s="147"/>
      <c r="AC85" s="146"/>
      <c r="AD85" s="146"/>
      <c r="AE85" s="148">
        <v>0.98040000000000005</v>
      </c>
      <c r="AF85" s="148">
        <v>0.98</v>
      </c>
      <c r="AG85" s="148"/>
      <c r="AH85" s="148"/>
      <c r="AI85" s="148"/>
      <c r="AJ85" s="148"/>
      <c r="AK85" s="148"/>
      <c r="AL85" s="148"/>
      <c r="AM85" s="172"/>
      <c r="AN85" s="172"/>
    </row>
    <row r="86" spans="1:40" x14ac:dyDescent="0.3">
      <c r="A86" s="140">
        <f t="shared" si="34"/>
        <v>85</v>
      </c>
      <c r="B86" s="141" t="str">
        <f t="shared" si="41"/>
        <v>April</v>
      </c>
      <c r="C86" s="141">
        <f t="shared" si="41"/>
        <v>4</v>
      </c>
      <c r="D86" s="142">
        <v>45748</v>
      </c>
      <c r="E86" s="143">
        <f t="shared" si="24"/>
        <v>2025</v>
      </c>
      <c r="F86" s="143" t="s">
        <v>1182</v>
      </c>
      <c r="G86" s="144">
        <f t="shared" si="44"/>
        <v>30</v>
      </c>
      <c r="H86" s="149">
        <f t="shared" si="42"/>
        <v>193.6</v>
      </c>
      <c r="I86" s="149">
        <f t="shared" si="42"/>
        <v>191.7</v>
      </c>
      <c r="J86" s="146"/>
      <c r="K86" s="145"/>
      <c r="L86" s="144"/>
      <c r="M86" s="147">
        <v>1038.306851835873</v>
      </c>
      <c r="N86" s="147">
        <v>8.0208999999999993</v>
      </c>
      <c r="O86" s="148">
        <f t="shared" si="35"/>
        <v>0.67527474134483101</v>
      </c>
      <c r="P86" s="146">
        <f t="shared" si="36"/>
        <v>6.39</v>
      </c>
      <c r="Q86" s="144">
        <f>COUNTIFS('Daily KPI'!$D:$D,D86,'Daily KPI'!$O:$O,"&gt;0")</f>
        <v>30</v>
      </c>
      <c r="R86" s="147">
        <f t="shared" si="37"/>
        <v>191.7</v>
      </c>
      <c r="S86" s="147">
        <f>SUMIF($F$2:F86,F86,$R$2:R86)</f>
        <v>191.7</v>
      </c>
      <c r="T86" s="146">
        <f t="shared" si="38"/>
        <v>34.610228394529102</v>
      </c>
      <c r="U86" s="147">
        <f t="shared" si="39"/>
        <v>1038.306851835873</v>
      </c>
      <c r="V86" s="147">
        <f>SUMIF($F$2:F86,F86,$U$2:U86)</f>
        <v>1038.306851835873</v>
      </c>
      <c r="W86" s="148">
        <f t="shared" si="40"/>
        <v>0.17979189988306124</v>
      </c>
      <c r="X86" s="148">
        <f t="shared" si="32"/>
        <v>0.17979189988306124</v>
      </c>
      <c r="Y86" s="148">
        <f t="shared" si="33"/>
        <v>0.17979189988306124</v>
      </c>
      <c r="Z86" s="146">
        <f>IFERROR(AVERAGEIF('Daily KPI'!$D:$D,Table14[[#This Row],[Month]],'Daily KPI'!$AB:$AB),"")</f>
        <v>8.0209000000000046</v>
      </c>
      <c r="AA86" s="149">
        <f>IFERROR(AVERAGEIF($F$2:F86,F86,$N$2:N86),"")</f>
        <v>8.0208999999999993</v>
      </c>
      <c r="AB86" s="147"/>
      <c r="AC86" s="146"/>
      <c r="AD86" s="146"/>
      <c r="AE86" s="148">
        <v>0.98040000000000005</v>
      </c>
      <c r="AF86" s="148">
        <v>0.98</v>
      </c>
      <c r="AG86" s="148"/>
      <c r="AH86" s="148"/>
      <c r="AI86" s="148"/>
      <c r="AJ86" s="148"/>
      <c r="AK86" s="148"/>
      <c r="AL86" s="148"/>
      <c r="AM86" s="172"/>
      <c r="AN86" s="172"/>
    </row>
    <row r="87" spans="1:40" x14ac:dyDescent="0.3">
      <c r="A87" s="140">
        <f t="shared" si="34"/>
        <v>86</v>
      </c>
      <c r="B87" s="141" t="str">
        <f t="shared" si="41"/>
        <v>May</v>
      </c>
      <c r="C87" s="141">
        <f t="shared" si="41"/>
        <v>5</v>
      </c>
      <c r="D87" s="142">
        <v>45778</v>
      </c>
      <c r="E87" s="143">
        <f t="shared" si="24"/>
        <v>2025</v>
      </c>
      <c r="F87" s="143" t="s">
        <v>1182</v>
      </c>
      <c r="G87" s="144">
        <f t="shared" si="44"/>
        <v>31</v>
      </c>
      <c r="H87" s="149">
        <f t="shared" si="42"/>
        <v>198.6</v>
      </c>
      <c r="I87" s="149">
        <f t="shared" si="42"/>
        <v>186.4</v>
      </c>
      <c r="J87" s="146"/>
      <c r="K87" s="145"/>
      <c r="L87" s="144"/>
      <c r="M87" s="147">
        <v>1040.9100812301763</v>
      </c>
      <c r="N87" s="147">
        <v>8.0208999999999993</v>
      </c>
      <c r="O87" s="148">
        <f t="shared" si="35"/>
        <v>0.69621632879901718</v>
      </c>
      <c r="P87" s="146">
        <f t="shared" si="36"/>
        <v>6.0129032258064514</v>
      </c>
      <c r="Q87" s="144">
        <f>COUNTIFS('Daily KPI'!$D:$D,D87,'Daily KPI'!$O:$O,"&gt;0")</f>
        <v>31</v>
      </c>
      <c r="R87" s="147">
        <f t="shared" si="37"/>
        <v>186.4</v>
      </c>
      <c r="S87" s="147">
        <f>SUMIF($F$2:F87,F87,$R$2:R87)</f>
        <v>378.1</v>
      </c>
      <c r="T87" s="146">
        <f t="shared" si="38"/>
        <v>33.577744555812139</v>
      </c>
      <c r="U87" s="147">
        <f t="shared" si="39"/>
        <v>1040.9100812301763</v>
      </c>
      <c r="V87" s="147">
        <f>SUMIF($F$2:F87,F87,$U$2:U87)</f>
        <v>2079.216933066049</v>
      </c>
      <c r="W87" s="148">
        <f t="shared" si="40"/>
        <v>0.17442839205394728</v>
      </c>
      <c r="X87" s="148">
        <f t="shared" si="32"/>
        <v>0.17442839205394728</v>
      </c>
      <c r="Y87" s="148">
        <f t="shared" si="33"/>
        <v>0.17706618278957709</v>
      </c>
      <c r="Z87" s="146">
        <f>IFERROR(AVERAGEIF('Daily KPI'!$D:$D,Table14[[#This Row],[Month]],'Daily KPI'!$AB:$AB),"")</f>
        <v>8.0209000000000046</v>
      </c>
      <c r="AA87" s="149">
        <f>IFERROR(AVERAGEIF($F$2:F87,F87,$N$2:N87),"")</f>
        <v>8.0208999999999993</v>
      </c>
      <c r="AB87" s="147"/>
      <c r="AC87" s="146"/>
      <c r="AD87" s="146"/>
      <c r="AE87" s="148">
        <v>0.98040000000000005</v>
      </c>
      <c r="AF87" s="148">
        <v>0.98</v>
      </c>
      <c r="AG87" s="148"/>
      <c r="AH87" s="148"/>
      <c r="AI87" s="148"/>
      <c r="AJ87" s="148"/>
      <c r="AK87" s="148"/>
      <c r="AL87" s="148"/>
      <c r="AM87" s="172"/>
      <c r="AN87" s="172"/>
    </row>
    <row r="88" spans="1:40" x14ac:dyDescent="0.3">
      <c r="A88" s="140">
        <f t="shared" si="34"/>
        <v>87</v>
      </c>
      <c r="B88" s="141" t="str">
        <f t="shared" si="41"/>
        <v>June</v>
      </c>
      <c r="C88" s="141">
        <f t="shared" si="41"/>
        <v>6</v>
      </c>
      <c r="D88" s="142">
        <v>45809</v>
      </c>
      <c r="E88" s="143">
        <f t="shared" si="24"/>
        <v>2025</v>
      </c>
      <c r="F88" s="143" t="s">
        <v>1182</v>
      </c>
      <c r="G88" s="144">
        <f t="shared" si="44"/>
        <v>30</v>
      </c>
      <c r="H88" s="149">
        <f t="shared" si="42"/>
        <v>154.80000000000001</v>
      </c>
      <c r="I88" s="149">
        <f t="shared" si="42"/>
        <v>142.80000000000001</v>
      </c>
      <c r="J88" s="146"/>
      <c r="K88" s="145"/>
      <c r="L88" s="144"/>
      <c r="M88" s="147">
        <v>777.5924493389839</v>
      </c>
      <c r="N88" s="147">
        <v>8.0208999999999993</v>
      </c>
      <c r="O88" s="148">
        <f t="shared" si="35"/>
        <v>0.67889205394445518</v>
      </c>
      <c r="P88" s="146">
        <f t="shared" si="36"/>
        <v>4.7600000000000007</v>
      </c>
      <c r="Q88" s="144">
        <f>COUNTIFS('Daily KPI'!$D:$D,D88,'Daily KPI'!$O:$O,"&gt;0")</f>
        <v>30</v>
      </c>
      <c r="R88" s="147">
        <f t="shared" si="37"/>
        <v>142.80000000000001</v>
      </c>
      <c r="S88" s="147">
        <f>SUMIF($F$2:F88,F88,$R$2:R88)</f>
        <v>520.90000000000009</v>
      </c>
      <c r="T88" s="146">
        <f t="shared" si="38"/>
        <v>25.919748311299465</v>
      </c>
      <c r="U88" s="147">
        <f t="shared" si="39"/>
        <v>777.5924493389839</v>
      </c>
      <c r="V88" s="147">
        <f>SUMIF($F$2:F88,F88,$U$2:U88)</f>
        <v>2856.8093824050329</v>
      </c>
      <c r="W88" s="148">
        <f t="shared" si="40"/>
        <v>0.13464692403231696</v>
      </c>
      <c r="X88" s="148">
        <f t="shared" si="32"/>
        <v>0.13464692403231696</v>
      </c>
      <c r="Y88" s="148">
        <f t="shared" si="33"/>
        <v>0.16308181177070011</v>
      </c>
      <c r="Z88" s="146">
        <f>IFERROR(AVERAGEIF('Daily KPI'!$D:$D,Table14[[#This Row],[Month]],'Daily KPI'!$AB:$AB),"")</f>
        <v>8.0209000000000046</v>
      </c>
      <c r="AA88" s="149">
        <f>IFERROR(AVERAGEIF($F$2:F88,F88,$N$2:N88),"")</f>
        <v>8.0208999999999993</v>
      </c>
      <c r="AB88" s="147"/>
      <c r="AC88" s="146"/>
      <c r="AD88" s="146"/>
      <c r="AE88" s="148">
        <v>0.98040000000000005</v>
      </c>
      <c r="AF88" s="148">
        <v>0.98</v>
      </c>
      <c r="AG88" s="148"/>
      <c r="AH88" s="148"/>
      <c r="AI88" s="148"/>
      <c r="AJ88" s="148"/>
      <c r="AK88" s="148"/>
      <c r="AL88" s="148"/>
      <c r="AM88" s="172"/>
      <c r="AN88" s="172"/>
    </row>
    <row r="89" spans="1:40" x14ac:dyDescent="0.3">
      <c r="A89" s="140">
        <f t="shared" si="34"/>
        <v>88</v>
      </c>
      <c r="B89" s="141" t="str">
        <f t="shared" si="41"/>
        <v>July</v>
      </c>
      <c r="C89" s="141">
        <f t="shared" si="41"/>
        <v>7</v>
      </c>
      <c r="D89" s="142">
        <v>45839</v>
      </c>
      <c r="E89" s="143">
        <f t="shared" si="24"/>
        <v>2025</v>
      </c>
      <c r="F89" s="143" t="s">
        <v>1182</v>
      </c>
      <c r="G89" s="144">
        <f t="shared" si="44"/>
        <v>31</v>
      </c>
      <c r="H89" s="149">
        <f t="shared" si="42"/>
        <v>134.4</v>
      </c>
      <c r="I89" s="149">
        <f t="shared" si="42"/>
        <v>125.4</v>
      </c>
      <c r="J89" s="146"/>
      <c r="K89" s="145"/>
      <c r="L89" s="144"/>
      <c r="M89" s="147">
        <v>710.8284232941719</v>
      </c>
      <c r="N89" s="147">
        <v>8.0208999999999993</v>
      </c>
      <c r="O89" s="148">
        <f t="shared" si="35"/>
        <v>0.70671473575739119</v>
      </c>
      <c r="P89" s="146">
        <f t="shared" si="36"/>
        <v>4.0451612903225804</v>
      </c>
      <c r="Q89" s="144">
        <f>COUNTIFS('Daily KPI'!$D:$D,D89,'Daily KPI'!$O:$O,"&gt;0")</f>
        <v>20</v>
      </c>
      <c r="R89" s="147">
        <f t="shared" si="37"/>
        <v>80.903225806451616</v>
      </c>
      <c r="S89" s="147">
        <f>SUMIF($F$2:F89,F89,$R$2:R89)</f>
        <v>601.80322580645168</v>
      </c>
      <c r="T89" s="146">
        <f t="shared" si="38"/>
        <v>22.929949138521675</v>
      </c>
      <c r="U89" s="147">
        <f t="shared" si="39"/>
        <v>458.59898277043351</v>
      </c>
      <c r="V89" s="147">
        <f>SUMIF($F$2:F89,F89,$U$2:U89)</f>
        <v>3315.4083651754663</v>
      </c>
      <c r="W89" s="148">
        <f t="shared" si="40"/>
        <v>0.11911562884943125</v>
      </c>
      <c r="X89" s="148">
        <f t="shared" si="32"/>
        <v>0.11911562884943125</v>
      </c>
      <c r="Y89" s="148">
        <f t="shared" si="33"/>
        <v>0.15515997701011114</v>
      </c>
      <c r="Z89" s="146">
        <f>IFERROR(AVERAGEIF('Daily KPI'!$D:$D,Table14[[#This Row],[Month]],'Daily KPI'!$AB:$AB),"")</f>
        <v>8.020900000000001</v>
      </c>
      <c r="AA89" s="149">
        <f>IFERROR(AVERAGEIF($F$2:F89,F89,$N$2:N89),"")</f>
        <v>8.0208999999999993</v>
      </c>
      <c r="AB89" s="147"/>
      <c r="AC89" s="146"/>
      <c r="AD89" s="146"/>
      <c r="AE89" s="148">
        <v>0.98040000000000005</v>
      </c>
      <c r="AF89" s="148">
        <v>0.98</v>
      </c>
      <c r="AG89" s="148"/>
      <c r="AH89" s="148"/>
      <c r="AI89" s="148"/>
      <c r="AJ89" s="148"/>
      <c r="AK89" s="148"/>
      <c r="AL89" s="148"/>
      <c r="AM89" s="172"/>
      <c r="AN89" s="172"/>
    </row>
    <row r="90" spans="1:40" x14ac:dyDescent="0.3">
      <c r="A90" s="140">
        <f t="shared" si="34"/>
        <v>89</v>
      </c>
      <c r="B90" s="141" t="str">
        <f t="shared" si="41"/>
        <v>August</v>
      </c>
      <c r="C90" s="141">
        <f t="shared" si="41"/>
        <v>8</v>
      </c>
      <c r="D90" s="142">
        <v>45870</v>
      </c>
      <c r="E90" s="143">
        <f t="shared" si="24"/>
        <v>2025</v>
      </c>
      <c r="F90" s="143" t="s">
        <v>1182</v>
      </c>
      <c r="G90" s="144">
        <f t="shared" si="44"/>
        <v>31</v>
      </c>
      <c r="H90" s="149">
        <f t="shared" si="42"/>
        <v>134.6</v>
      </c>
      <c r="I90" s="149">
        <f t="shared" si="42"/>
        <v>130.69999999999999</v>
      </c>
      <c r="J90" s="146"/>
      <c r="K90" s="145"/>
      <c r="L90" s="144"/>
      <c r="M90" s="147">
        <v>752.46786038214657</v>
      </c>
      <c r="N90" s="147">
        <v>8.0208999999999993</v>
      </c>
      <c r="O90" s="148">
        <f t="shared" si="35"/>
        <v>0.71777654975663252</v>
      </c>
      <c r="P90" s="146">
        <f t="shared" si="36"/>
        <v>4.2161290322580642</v>
      </c>
      <c r="Q90" s="144">
        <f>COUNTIFS('Daily KPI'!$D:$D,D90,'Daily KPI'!$O:$O,"&gt;0")</f>
        <v>0</v>
      </c>
      <c r="R90" s="147">
        <f t="shared" si="37"/>
        <v>0</v>
      </c>
      <c r="S90" s="147">
        <f>SUMIF($F$2:F90,F90,$R$2:R90)</f>
        <v>601.80322580645168</v>
      </c>
      <c r="T90" s="146">
        <f t="shared" si="38"/>
        <v>24.273156786520858</v>
      </c>
      <c r="U90" s="147">
        <f t="shared" si="39"/>
        <v>0</v>
      </c>
      <c r="V90" s="147">
        <f>SUMIF($F$2:F90,F90,$U$2:U90)</f>
        <v>3315.4083651754663</v>
      </c>
      <c r="W90" s="148">
        <f t="shared" si="40"/>
        <v>0.12609327292095679</v>
      </c>
      <c r="X90" s="148" t="str">
        <f t="shared" si="32"/>
        <v/>
      </c>
      <c r="Y90" s="148">
        <f t="shared" si="33"/>
        <v>0.15515997701011114</v>
      </c>
      <c r="Z90" s="146" t="str">
        <f>IFERROR(AVERAGEIF('Daily KPI'!$D:$D,Table14[[#This Row],[Month]],'Daily KPI'!$AB:$AB),"")</f>
        <v/>
      </c>
      <c r="AA90" s="149">
        <f>IFERROR(AVERAGEIF($F$2:F90,F90,$N$2:N90),"")</f>
        <v>8.0208999999999993</v>
      </c>
      <c r="AB90" s="147"/>
      <c r="AC90" s="146"/>
      <c r="AD90" s="146"/>
      <c r="AE90" s="148">
        <v>0.98040000000000005</v>
      </c>
      <c r="AF90" s="148">
        <v>0.98</v>
      </c>
      <c r="AG90" s="148"/>
      <c r="AH90" s="148"/>
      <c r="AI90" s="148"/>
      <c r="AJ90" s="148"/>
      <c r="AK90" s="148"/>
      <c r="AL90" s="148"/>
      <c r="AM90" s="172"/>
      <c r="AN90" s="172"/>
    </row>
    <row r="91" spans="1:40" x14ac:dyDescent="0.3">
      <c r="A91" s="140">
        <f t="shared" si="34"/>
        <v>90</v>
      </c>
      <c r="B91" s="141" t="str">
        <f t="shared" si="41"/>
        <v>September</v>
      </c>
      <c r="C91" s="141">
        <f t="shared" si="41"/>
        <v>9</v>
      </c>
      <c r="D91" s="142">
        <v>45901</v>
      </c>
      <c r="E91" s="143">
        <f t="shared" si="24"/>
        <v>2025</v>
      </c>
      <c r="F91" s="143" t="s">
        <v>1182</v>
      </c>
      <c r="G91" s="144">
        <f t="shared" si="44"/>
        <v>30</v>
      </c>
      <c r="H91" s="149">
        <f t="shared" si="42"/>
        <v>142.5</v>
      </c>
      <c r="I91" s="149">
        <f t="shared" si="42"/>
        <v>145.4</v>
      </c>
      <c r="J91" s="146"/>
      <c r="K91" s="145"/>
      <c r="L91" s="144"/>
      <c r="M91" s="147">
        <v>812.97092400213171</v>
      </c>
      <c r="N91" s="147">
        <v>8.0208999999999993</v>
      </c>
      <c r="O91" s="148">
        <f t="shared" si="35"/>
        <v>0.69708783670793795</v>
      </c>
      <c r="P91" s="146">
        <f t="shared" si="36"/>
        <v>4.8466666666666667</v>
      </c>
      <c r="Q91" s="144">
        <f>COUNTIFS('Daily KPI'!$D:$D,D91,'Daily KPI'!$O:$O,"&gt;0")</f>
        <v>0</v>
      </c>
      <c r="R91" s="147">
        <f t="shared" si="37"/>
        <v>0</v>
      </c>
      <c r="S91" s="147">
        <f>SUMIF($F$2:F91,F91,$R$2:R91)</f>
        <v>601.80322580645168</v>
      </c>
      <c r="T91" s="146">
        <f t="shared" si="38"/>
        <v>27.099030800071056</v>
      </c>
      <c r="U91" s="147">
        <f t="shared" si="39"/>
        <v>0</v>
      </c>
      <c r="V91" s="147">
        <f>SUMIF($F$2:F91,F91,$U$2:U91)</f>
        <v>3315.4083651754663</v>
      </c>
      <c r="W91" s="148">
        <f t="shared" si="40"/>
        <v>0.14077301591296412</v>
      </c>
      <c r="X91" s="148" t="str">
        <f t="shared" si="32"/>
        <v/>
      </c>
      <c r="Y91" s="148">
        <f t="shared" si="33"/>
        <v>0.15515997701011114</v>
      </c>
      <c r="Z91" s="146" t="str">
        <f>IFERROR(AVERAGEIF('Daily KPI'!$D:$D,Table14[[#This Row],[Month]],'Daily KPI'!$AB:$AB),"")</f>
        <v/>
      </c>
      <c r="AA91" s="149">
        <f>IFERROR(AVERAGEIF($F$2:F91,F91,$N$2:N91),"")</f>
        <v>8.0208999999999993</v>
      </c>
      <c r="AB91" s="147"/>
      <c r="AC91" s="146"/>
      <c r="AD91" s="146"/>
      <c r="AE91" s="148">
        <v>0.98040000000000005</v>
      </c>
      <c r="AF91" s="148">
        <v>0.98</v>
      </c>
      <c r="AG91" s="148"/>
      <c r="AH91" s="148"/>
      <c r="AI91" s="148"/>
      <c r="AJ91" s="148"/>
      <c r="AK91" s="148"/>
      <c r="AL91" s="148"/>
      <c r="AM91" s="172"/>
      <c r="AN91" s="172"/>
    </row>
    <row r="92" spans="1:40" x14ac:dyDescent="0.3">
      <c r="A92" s="140">
        <f t="shared" si="34"/>
        <v>91</v>
      </c>
      <c r="B92" s="141" t="str">
        <f t="shared" si="41"/>
        <v>October</v>
      </c>
      <c r="C92" s="141">
        <f t="shared" si="41"/>
        <v>10</v>
      </c>
      <c r="D92" s="142">
        <v>45931</v>
      </c>
      <c r="E92" s="143">
        <f t="shared" si="24"/>
        <v>2025</v>
      </c>
      <c r="F92" s="143" t="s">
        <v>1182</v>
      </c>
      <c r="G92" s="144">
        <f t="shared" si="44"/>
        <v>31</v>
      </c>
      <c r="H92" s="149">
        <f t="shared" si="42"/>
        <v>145.69999999999999</v>
      </c>
      <c r="I92" s="149">
        <f t="shared" si="42"/>
        <v>158.80000000000001</v>
      </c>
      <c r="J92" s="146"/>
      <c r="K92" s="145"/>
      <c r="L92" s="144"/>
      <c r="M92" s="147">
        <v>923.72805882412695</v>
      </c>
      <c r="N92" s="147">
        <v>8.0208999999999993</v>
      </c>
      <c r="O92" s="148">
        <f t="shared" si="35"/>
        <v>0.72522127474099773</v>
      </c>
      <c r="P92" s="146">
        <f t="shared" si="36"/>
        <v>5.1225806451612907</v>
      </c>
      <c r="Q92" s="144">
        <f>COUNTIFS('Daily KPI'!$D:$D,D92,'Daily KPI'!$O:$O,"&gt;0")</f>
        <v>0</v>
      </c>
      <c r="R92" s="147">
        <f t="shared" si="37"/>
        <v>0</v>
      </c>
      <c r="S92" s="147">
        <f>SUMIF($F$2:F92,F92,$R$2:R92)</f>
        <v>601.80322580645168</v>
      </c>
      <c r="T92" s="146">
        <f t="shared" si="38"/>
        <v>29.79767931690732</v>
      </c>
      <c r="U92" s="147">
        <f t="shared" si="39"/>
        <v>0</v>
      </c>
      <c r="V92" s="147">
        <f>SUMIF($F$2:F92,F92,$U$2:U92)</f>
        <v>3315.4083651754663</v>
      </c>
      <c r="W92" s="148">
        <f t="shared" si="40"/>
        <v>0.1547918527269764</v>
      </c>
      <c r="X92" s="148" t="str">
        <f t="shared" si="32"/>
        <v/>
      </c>
      <c r="Y92" s="148">
        <f t="shared" si="33"/>
        <v>0.15515997701011114</v>
      </c>
      <c r="Z92" s="146" t="str">
        <f>IFERROR(AVERAGEIF('Daily KPI'!$D:$D,Table14[[#This Row],[Month]],'Daily KPI'!$AB:$AB),"")</f>
        <v/>
      </c>
      <c r="AA92" s="149">
        <f>IFERROR(AVERAGEIF($F$2:F92,F92,$N$2:N92),"")</f>
        <v>8.0208999999999993</v>
      </c>
      <c r="AB92" s="147"/>
      <c r="AC92" s="146"/>
      <c r="AD92" s="146"/>
      <c r="AE92" s="148">
        <v>0.98040000000000005</v>
      </c>
      <c r="AF92" s="148">
        <v>0.98</v>
      </c>
      <c r="AG92" s="148"/>
      <c r="AH92" s="148"/>
      <c r="AI92" s="148"/>
      <c r="AJ92" s="148"/>
      <c r="AK92" s="148"/>
      <c r="AL92" s="148"/>
      <c r="AM92" s="172"/>
      <c r="AN92" s="172"/>
    </row>
    <row r="93" spans="1:40" x14ac:dyDescent="0.3">
      <c r="A93" s="140">
        <f t="shared" si="34"/>
        <v>92</v>
      </c>
      <c r="B93" s="141" t="str">
        <f t="shared" si="41"/>
        <v>November</v>
      </c>
      <c r="C93" s="141">
        <f t="shared" si="41"/>
        <v>11</v>
      </c>
      <c r="D93" s="142">
        <v>45962</v>
      </c>
      <c r="E93" s="143">
        <f t="shared" si="24"/>
        <v>2025</v>
      </c>
      <c r="F93" s="143" t="s">
        <v>1182</v>
      </c>
      <c r="G93" s="144">
        <f t="shared" si="44"/>
        <v>30</v>
      </c>
      <c r="H93" s="149">
        <f t="shared" si="42"/>
        <v>138.9</v>
      </c>
      <c r="I93" s="149">
        <f t="shared" si="42"/>
        <v>163</v>
      </c>
      <c r="J93" s="146"/>
      <c r="K93" s="145"/>
      <c r="L93" s="144"/>
      <c r="M93" s="147">
        <v>928.06106564490403</v>
      </c>
      <c r="N93" s="147">
        <v>8.0208999999999993</v>
      </c>
      <c r="O93" s="148">
        <f t="shared" si="35"/>
        <v>0.70984879123298372</v>
      </c>
      <c r="P93" s="146">
        <f t="shared" si="36"/>
        <v>5.4333333333333336</v>
      </c>
      <c r="Q93" s="144">
        <f>COUNTIFS('Daily KPI'!$D:$D,D93,'Daily KPI'!$O:$O,"&gt;0")</f>
        <v>0</v>
      </c>
      <c r="R93" s="147">
        <f t="shared" si="37"/>
        <v>0</v>
      </c>
      <c r="S93" s="147">
        <f>SUMIF($F$2:F93,F93,$R$2:R93)</f>
        <v>601.80322580645168</v>
      </c>
      <c r="T93" s="146">
        <f t="shared" si="38"/>
        <v>30.935368854830134</v>
      </c>
      <c r="U93" s="147">
        <f t="shared" si="39"/>
        <v>0</v>
      </c>
      <c r="V93" s="147">
        <f>SUMIF($F$2:F93,F93,$U$2:U93)</f>
        <v>3315.4083651754663</v>
      </c>
      <c r="W93" s="148">
        <f t="shared" si="40"/>
        <v>0.160701879126356</v>
      </c>
      <c r="X93" s="148" t="str">
        <f t="shared" si="32"/>
        <v/>
      </c>
      <c r="Y93" s="148">
        <f t="shared" si="33"/>
        <v>0.15515997701011114</v>
      </c>
      <c r="Z93" s="146" t="str">
        <f>IFERROR(AVERAGEIF('Daily KPI'!$D:$D,Table14[[#This Row],[Month]],'Daily KPI'!$AB:$AB),"")</f>
        <v/>
      </c>
      <c r="AA93" s="149">
        <f>IFERROR(AVERAGEIF($F$2:F93,F93,$N$2:N93),"")</f>
        <v>8.0208999999999993</v>
      </c>
      <c r="AB93" s="147"/>
      <c r="AC93" s="146"/>
      <c r="AD93" s="146"/>
      <c r="AE93" s="148">
        <v>0.98040000000000005</v>
      </c>
      <c r="AF93" s="148">
        <v>0.98</v>
      </c>
      <c r="AG93" s="148"/>
      <c r="AH93" s="148"/>
      <c r="AI93" s="148"/>
      <c r="AJ93" s="148"/>
      <c r="AK93" s="148"/>
      <c r="AL93" s="148"/>
      <c r="AM93" s="172"/>
      <c r="AN93" s="172"/>
    </row>
    <row r="94" spans="1:40" x14ac:dyDescent="0.3">
      <c r="A94" s="140">
        <f t="shared" si="34"/>
        <v>93</v>
      </c>
      <c r="B94" s="141" t="str">
        <f t="shared" si="41"/>
        <v>December</v>
      </c>
      <c r="C94" s="141">
        <f t="shared" si="41"/>
        <v>12</v>
      </c>
      <c r="D94" s="142">
        <v>45992</v>
      </c>
      <c r="E94" s="143">
        <f t="shared" ref="E94:E96" si="45">YEAR(D94)</f>
        <v>2025</v>
      </c>
      <c r="F94" s="143" t="s">
        <v>1182</v>
      </c>
      <c r="G94" s="144">
        <f t="shared" si="44"/>
        <v>31</v>
      </c>
      <c r="H94" s="149">
        <f t="shared" si="42"/>
        <v>134.69999999999999</v>
      </c>
      <c r="I94" s="149">
        <f t="shared" si="42"/>
        <v>163.69999999999999</v>
      </c>
      <c r="J94" s="146"/>
      <c r="K94" s="145"/>
      <c r="L94" s="144"/>
      <c r="M94" s="147">
        <v>966.35349351163529</v>
      </c>
      <c r="N94" s="147">
        <v>8.0208999999999993</v>
      </c>
      <c r="O94" s="148">
        <f t="shared" si="35"/>
        <v>0.73597699552347362</v>
      </c>
      <c r="P94" s="146">
        <f t="shared" si="36"/>
        <v>5.2806451612903222</v>
      </c>
      <c r="Q94" s="144">
        <f>COUNTIFS('Daily KPI'!$D:$D,D94,'Daily KPI'!$O:$O,"&gt;0")</f>
        <v>0</v>
      </c>
      <c r="R94" s="147">
        <f t="shared" si="37"/>
        <v>0</v>
      </c>
      <c r="S94" s="147">
        <f>SUMIF($F$2:F94,F94,$R$2:R94)</f>
        <v>601.80322580645168</v>
      </c>
      <c r="T94" s="146">
        <f t="shared" si="38"/>
        <v>31.172693339085008</v>
      </c>
      <c r="U94" s="147">
        <f t="shared" si="39"/>
        <v>0</v>
      </c>
      <c r="V94" s="147">
        <f>SUMIF($F$2:F94,F94,$U$2:U94)</f>
        <v>3315.4083651754663</v>
      </c>
      <c r="W94" s="148">
        <f t="shared" si="40"/>
        <v>0.16193472334300082</v>
      </c>
      <c r="X94" s="148" t="str">
        <f t="shared" si="32"/>
        <v/>
      </c>
      <c r="Y94" s="148">
        <f t="shared" si="33"/>
        <v>0.15515997701011114</v>
      </c>
      <c r="Z94" s="146" t="str">
        <f>IFERROR(AVERAGEIF('Daily KPI'!$D:$D,Table14[[#This Row],[Month]],'Daily KPI'!$AB:$AB),"")</f>
        <v/>
      </c>
      <c r="AA94" s="149">
        <f>IFERROR(AVERAGEIF($F$2:F94,F94,$N$2:N94),"")</f>
        <v>8.0208999999999993</v>
      </c>
      <c r="AB94" s="147"/>
      <c r="AC94" s="146"/>
      <c r="AD94" s="146"/>
      <c r="AE94" s="148">
        <v>0.98040000000000005</v>
      </c>
      <c r="AF94" s="148">
        <v>0.98</v>
      </c>
      <c r="AG94" s="148"/>
      <c r="AH94" s="148"/>
      <c r="AI94" s="148"/>
      <c r="AJ94" s="148"/>
      <c r="AK94" s="148"/>
      <c r="AL94" s="148"/>
      <c r="AM94" s="172"/>
      <c r="AN94" s="172"/>
    </row>
    <row r="95" spans="1:40" x14ac:dyDescent="0.3">
      <c r="A95" s="140">
        <f t="shared" si="34"/>
        <v>94</v>
      </c>
      <c r="B95" s="141" t="str">
        <f t="shared" ref="B95:C97" si="46">B83</f>
        <v>January</v>
      </c>
      <c r="C95" s="141">
        <f t="shared" si="46"/>
        <v>1</v>
      </c>
      <c r="D95" s="142">
        <v>46023</v>
      </c>
      <c r="E95" s="143">
        <f t="shared" si="45"/>
        <v>2026</v>
      </c>
      <c r="F95" s="143" t="s">
        <v>1182</v>
      </c>
      <c r="G95" s="144">
        <f t="shared" si="44"/>
        <v>31</v>
      </c>
      <c r="H95" s="149">
        <f t="shared" ref="H95:I97" si="47">H83</f>
        <v>151.6</v>
      </c>
      <c r="I95" s="149">
        <f t="shared" si="47"/>
        <v>183.9</v>
      </c>
      <c r="J95" s="146"/>
      <c r="K95" s="145"/>
      <c r="L95" s="144"/>
      <c r="M95" s="147">
        <v>1068.7455519246876</v>
      </c>
      <c r="N95" s="147">
        <v>8.0208999999999993</v>
      </c>
      <c r="O95" s="148">
        <f t="shared" si="35"/>
        <v>0.72455188248968172</v>
      </c>
      <c r="P95" s="146">
        <f t="shared" si="36"/>
        <v>5.9322580645161294</v>
      </c>
      <c r="Q95" s="144">
        <f>COUNTIFS('Daily KPI'!$D:$D,D95,'Daily KPI'!$O:$O,"&gt;0")</f>
        <v>0</v>
      </c>
      <c r="R95" s="147">
        <f t="shared" si="37"/>
        <v>0</v>
      </c>
      <c r="S95" s="147">
        <f>SUMIF($F$2:F95,F95,$R$2:R95)</f>
        <v>601.80322580645168</v>
      </c>
      <c r="T95" s="146">
        <f t="shared" si="38"/>
        <v>34.475662965312502</v>
      </c>
      <c r="U95" s="147">
        <f t="shared" si="39"/>
        <v>0</v>
      </c>
      <c r="V95" s="147">
        <f>SUMIF($F$2:F95,F95,$U$2:U95)</f>
        <v>3315.4083651754663</v>
      </c>
      <c r="W95" s="148">
        <f t="shared" si="40"/>
        <v>0.17909286450248987</v>
      </c>
      <c r="X95" s="148" t="str">
        <f t="shared" si="32"/>
        <v/>
      </c>
      <c r="Y95" s="148">
        <f t="shared" si="33"/>
        <v>0.15515997701011114</v>
      </c>
      <c r="Z95" s="146" t="str">
        <f>IFERROR(AVERAGEIF('Daily KPI'!$D:$D,Table14[[#This Row],[Month]],'Daily KPI'!$AB:$AB),"")</f>
        <v/>
      </c>
      <c r="AA95" s="149">
        <f>IFERROR(AVERAGEIF($F$2:F95,F95,$N$2:N95),"")</f>
        <v>8.0208999999999993</v>
      </c>
      <c r="AB95" s="147"/>
      <c r="AC95" s="146"/>
      <c r="AD95" s="146"/>
      <c r="AE95" s="148">
        <v>0.98040000000000005</v>
      </c>
      <c r="AF95" s="148">
        <v>0.98</v>
      </c>
      <c r="AG95" s="148"/>
      <c r="AH95" s="148"/>
      <c r="AI95" s="148"/>
      <c r="AJ95" s="148"/>
      <c r="AK95" s="148"/>
      <c r="AL95" s="148"/>
      <c r="AM95" s="172"/>
      <c r="AN95" s="172"/>
    </row>
    <row r="96" spans="1:40" x14ac:dyDescent="0.3">
      <c r="A96" s="140">
        <f t="shared" si="34"/>
        <v>95</v>
      </c>
      <c r="B96" s="141" t="str">
        <f t="shared" si="46"/>
        <v>February</v>
      </c>
      <c r="C96" s="141">
        <f t="shared" si="46"/>
        <v>2</v>
      </c>
      <c r="D96" s="142">
        <v>46054</v>
      </c>
      <c r="E96" s="143">
        <f t="shared" si="45"/>
        <v>2026</v>
      </c>
      <c r="F96" s="143" t="s">
        <v>1182</v>
      </c>
      <c r="G96" s="144">
        <f t="shared" si="44"/>
        <v>28</v>
      </c>
      <c r="H96" s="149">
        <f t="shared" si="47"/>
        <v>159.9</v>
      </c>
      <c r="I96" s="149">
        <f t="shared" si="47"/>
        <v>184</v>
      </c>
      <c r="J96" s="146"/>
      <c r="K96" s="145"/>
      <c r="L96" s="144"/>
      <c r="M96" s="147">
        <v>951.70152615819507</v>
      </c>
      <c r="N96" s="147">
        <v>8.0208999999999993</v>
      </c>
      <c r="O96" s="148">
        <f t="shared" si="35"/>
        <v>0.64485168784471436</v>
      </c>
      <c r="P96" s="146">
        <f t="shared" si="36"/>
        <v>6.5714285714285712</v>
      </c>
      <c r="Q96" s="144">
        <f>COUNTIFS('Daily KPI'!$D:$D,D96,'Daily KPI'!$O:$O,"&gt;0")</f>
        <v>0</v>
      </c>
      <c r="R96" s="147">
        <f t="shared" si="37"/>
        <v>0</v>
      </c>
      <c r="S96" s="147">
        <f>SUMIF($F$2:F97,F96,$R$2:R97)</f>
        <v>601.80322580645168</v>
      </c>
      <c r="T96" s="146">
        <f t="shared" si="38"/>
        <v>33.989340219935535</v>
      </c>
      <c r="U96" s="147">
        <f t="shared" si="39"/>
        <v>0</v>
      </c>
      <c r="V96" s="147">
        <f>SUMIF($F$2:F97,F96,$U$2:U97)</f>
        <v>3315.4083651754663</v>
      </c>
      <c r="W96" s="148">
        <f t="shared" si="40"/>
        <v>0.17656653357652891</v>
      </c>
      <c r="X96" s="148" t="str">
        <f t="shared" si="32"/>
        <v/>
      </c>
      <c r="Y96" s="148">
        <f t="shared" si="33"/>
        <v>0.15515997701011114</v>
      </c>
      <c r="Z96" s="146" t="str">
        <f>IFERROR(AVERAGEIF('Daily KPI'!$D:$D,Table14[[#This Row],[Month]],'Daily KPI'!$AB:$AB),"")</f>
        <v/>
      </c>
      <c r="AA96" s="149">
        <f>IFERROR(AVERAGEIF($F$2:F97,F96,$N$2:N97),"")</f>
        <v>8.0208999999999993</v>
      </c>
      <c r="AB96" s="147"/>
      <c r="AC96" s="146"/>
      <c r="AD96" s="146"/>
      <c r="AE96" s="148">
        <v>0.98040000000000005</v>
      </c>
      <c r="AF96" s="148">
        <v>0.98</v>
      </c>
      <c r="AG96" s="148"/>
      <c r="AH96" s="148"/>
      <c r="AI96" s="148"/>
      <c r="AJ96" s="148"/>
      <c r="AK96" s="148"/>
      <c r="AL96" s="148"/>
      <c r="AM96" s="172"/>
      <c r="AN96" s="172"/>
    </row>
    <row r="97" spans="1:40" x14ac:dyDescent="0.3">
      <c r="A97" s="140">
        <f t="shared" si="34"/>
        <v>96</v>
      </c>
      <c r="B97" s="141" t="str">
        <f t="shared" si="46"/>
        <v>March</v>
      </c>
      <c r="C97" s="141">
        <f t="shared" si="46"/>
        <v>3</v>
      </c>
      <c r="D97" s="142">
        <v>46082</v>
      </c>
      <c r="E97" s="143">
        <f>YEAR(D97)</f>
        <v>2026</v>
      </c>
      <c r="F97" s="143" t="s">
        <v>1182</v>
      </c>
      <c r="G97" s="144">
        <f>DAY(EOMONTH(D97,0))</f>
        <v>31</v>
      </c>
      <c r="H97" s="149">
        <f t="shared" si="47"/>
        <v>197.2</v>
      </c>
      <c r="I97" s="149">
        <f t="shared" si="47"/>
        <v>210.4</v>
      </c>
      <c r="J97" s="146"/>
      <c r="K97" s="145"/>
      <c r="L97" s="144"/>
      <c r="M97" s="147">
        <v>1184.7898847928143</v>
      </c>
      <c r="N97" s="147">
        <v>8.0208999999999993</v>
      </c>
      <c r="O97" s="148">
        <f>IFERROR(M97/I97/N97,"")</f>
        <v>0.70205720444645292</v>
      </c>
      <c r="P97" s="146">
        <f>IFERROR(I97/G97,"")</f>
        <v>6.7870967741935484</v>
      </c>
      <c r="Q97" s="144">
        <f>COUNTIFS('Daily KPI'!$D:$D,D97,'Daily KPI'!$O:$O,"&gt;0")</f>
        <v>0</v>
      </c>
      <c r="R97" s="147">
        <f>I97/G97*Q97</f>
        <v>0</v>
      </c>
      <c r="S97" s="147">
        <f>SUMIF($F$2:F97,F97,$R$2:R97)</f>
        <v>601.80322580645168</v>
      </c>
      <c r="T97" s="146">
        <f>M97/G97</f>
        <v>38.219028541703686</v>
      </c>
      <c r="U97" s="147">
        <f>M97/G97*Q97</f>
        <v>0</v>
      </c>
      <c r="V97" s="147">
        <f>SUMIF($F$2:F97,F97,$U$2:U97)</f>
        <v>3315.4083651754663</v>
      </c>
      <c r="W97" s="148">
        <f>IFERROR(T97/(24*N97),"")</f>
        <v>0.19853875781657757</v>
      </c>
      <c r="X97" s="148" t="str">
        <f t="shared" si="32"/>
        <v/>
      </c>
      <c r="Y97" s="148">
        <f t="shared" si="33"/>
        <v>0.15515997701011114</v>
      </c>
      <c r="Z97" s="146" t="str">
        <f>IFERROR(AVERAGEIF('Daily KPI'!$D:$D,Table14[[#This Row],[Month]],'Daily KPI'!$AB:$AB),"")</f>
        <v/>
      </c>
      <c r="AA97" s="149">
        <f>IFERROR(AVERAGEIF($F$2:F97,F97,$N$2:N97),"")</f>
        <v>8.0208999999999993</v>
      </c>
      <c r="AB97" s="147"/>
      <c r="AC97" s="146"/>
      <c r="AD97" s="146"/>
      <c r="AE97" s="148">
        <v>0.98040000000000005</v>
      </c>
      <c r="AF97" s="148">
        <v>0.98</v>
      </c>
      <c r="AG97" s="148"/>
      <c r="AH97" s="148"/>
      <c r="AI97" s="148"/>
      <c r="AJ97" s="148"/>
      <c r="AK97" s="148"/>
      <c r="AL97" s="148"/>
      <c r="AM97" s="174"/>
      <c r="AN97" s="17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102" activePane="bottomRight" state="frozen"/>
      <selection activeCell="AB39" sqref="AB39"/>
      <selection pane="topRight" activeCell="AB39" sqref="AB39"/>
      <selection pane="bottomLeft" activeCell="AB39" sqref="AB39"/>
      <selection pane="bottomRight" activeCell="I112" sqref="I112:I115"/>
    </sheetView>
  </sheetViews>
  <sheetFormatPr defaultColWidth="8.77734375" defaultRowHeight="14.4" x14ac:dyDescent="0.3"/>
  <cols>
    <col min="1" max="1" width="10.21875" style="7" bestFit="1" customWidth="1"/>
    <col min="2" max="5" width="9" style="7" customWidth="1"/>
    <col min="6" max="9" width="10.21875" style="7" customWidth="1"/>
    <col min="10" max="12" width="11.21875" style="7" customWidth="1"/>
    <col min="13" max="13" width="15.21875" style="7" bestFit="1" customWidth="1"/>
    <col min="14" max="37" width="11.21875" style="7" customWidth="1"/>
    <col min="38" max="39" width="11.21875" style="177" customWidth="1"/>
    <col min="40" max="40" width="11.21875" style="205" customWidth="1"/>
    <col min="41" max="43" width="11.21875" style="7" customWidth="1"/>
    <col min="44" max="44" width="8.77734375" style="130"/>
    <col min="45" max="16384" width="8.77734375" style="7"/>
  </cols>
  <sheetData>
    <row r="1" spans="1:45" ht="57.6" x14ac:dyDescent="0.3">
      <c r="A1" s="125" t="s">
        <v>41</v>
      </c>
      <c r="B1" s="126" t="s">
        <v>1092</v>
      </c>
      <c r="C1" s="126" t="s">
        <v>1093</v>
      </c>
      <c r="D1" s="126" t="s">
        <v>40</v>
      </c>
      <c r="E1" s="126" t="s">
        <v>55</v>
      </c>
      <c r="F1" s="127" t="s">
        <v>94</v>
      </c>
      <c r="G1" s="127" t="s">
        <v>1094</v>
      </c>
      <c r="H1" s="127" t="s">
        <v>1095</v>
      </c>
      <c r="I1" s="127" t="s">
        <v>1096</v>
      </c>
      <c r="J1" s="127" t="s">
        <v>1097</v>
      </c>
      <c r="K1" s="127" t="s">
        <v>1098</v>
      </c>
      <c r="L1" s="127" t="s">
        <v>1099</v>
      </c>
      <c r="M1" s="127" t="s">
        <v>1100</v>
      </c>
      <c r="N1" s="127" t="s">
        <v>1101</v>
      </c>
      <c r="O1" s="127" t="s">
        <v>93</v>
      </c>
      <c r="P1" s="127" t="s">
        <v>1102</v>
      </c>
      <c r="Q1" s="127" t="s">
        <v>1103</v>
      </c>
      <c r="R1" s="127" t="s">
        <v>1104</v>
      </c>
      <c r="S1" s="127" t="s">
        <v>1105</v>
      </c>
      <c r="T1" s="127" t="s">
        <v>1106</v>
      </c>
      <c r="U1" s="127" t="s">
        <v>92</v>
      </c>
      <c r="V1" s="127" t="s">
        <v>1107</v>
      </c>
      <c r="W1" s="127" t="s">
        <v>1108</v>
      </c>
      <c r="X1" s="127" t="s">
        <v>1109</v>
      </c>
      <c r="Y1" s="127" t="s">
        <v>1110</v>
      </c>
      <c r="Z1" s="127" t="s">
        <v>1111</v>
      </c>
      <c r="AA1" s="127" t="s">
        <v>1112</v>
      </c>
      <c r="AB1" s="127" t="s">
        <v>1113</v>
      </c>
      <c r="AC1" s="127" t="s">
        <v>1114</v>
      </c>
      <c r="AD1" s="127" t="s">
        <v>1115</v>
      </c>
      <c r="AE1" s="127" t="s">
        <v>1116</v>
      </c>
      <c r="AF1" s="127" t="s">
        <v>1117</v>
      </c>
      <c r="AG1" s="127" t="s">
        <v>1118</v>
      </c>
      <c r="AH1" s="127" t="s">
        <v>1119</v>
      </c>
      <c r="AI1" s="127" t="s">
        <v>1120</v>
      </c>
      <c r="AJ1" s="127" t="s">
        <v>1121</v>
      </c>
      <c r="AK1" s="127" t="s">
        <v>1122</v>
      </c>
      <c r="AL1" s="176" t="s">
        <v>1123</v>
      </c>
      <c r="AM1" s="176" t="s">
        <v>1124</v>
      </c>
      <c r="AN1" s="128" t="s">
        <v>1125</v>
      </c>
      <c r="AO1" s="127" t="s">
        <v>1126</v>
      </c>
      <c r="AP1" s="127" t="s">
        <v>1127</v>
      </c>
      <c r="AQ1" s="127" t="s">
        <v>1128</v>
      </c>
      <c r="AR1" s="127" t="s">
        <v>1193</v>
      </c>
      <c r="AS1" s="127" t="s">
        <v>1194</v>
      </c>
    </row>
    <row r="2" spans="1:45" x14ac:dyDescent="0.3">
      <c r="A2" s="129">
        <v>45745</v>
      </c>
      <c r="B2" s="130">
        <f>YEAR(Table13[[#This Row],[Date]])+IF(MONTH(Table13[[#This Row],[Date]])&gt;=4,1,0)</f>
        <v>2025</v>
      </c>
      <c r="C2" s="7">
        <f>YEAR(Table13[[#This Row],[Date]])</f>
        <v>2025</v>
      </c>
      <c r="D2" s="131">
        <f>Table13[[#This Row],[Date]]-DAY(Table13[[#This Row],[Date]])+1</f>
        <v>45717</v>
      </c>
      <c r="E2" s="7">
        <f t="shared" ref="E2:E52" si="0">DAY(EOMONTH(A2,0))</f>
        <v>31</v>
      </c>
      <c r="F2" s="132">
        <f>IFERROR(_xlfn.XLOOKUP($A2,'Raw Data'!$G:$G,'Raw Data'!$AM:$AM),"")</f>
        <v>12.083333333333336</v>
      </c>
      <c r="G2" s="133">
        <f>IFERROR(_xlfn.XLOOKUP($A2,'Raw Data'!$G:$G,'Raw Data'!$AB:$AB),"")</f>
        <v>0</v>
      </c>
      <c r="H2" s="133"/>
      <c r="I2" s="133">
        <f>IFERROR(_xlfn.XLOOKUP($A2,'Raw Data'!$G:$G,'Raw Data'!$AC:$AC),"")</f>
        <v>5.53</v>
      </c>
      <c r="J2" s="133"/>
      <c r="K2" s="133">
        <f>IFERROR(_xlfn.XLOOKUP($A2,'Raw Data'!$G:$G,'Raw Data'!AD:AD),"")</f>
        <v>0</v>
      </c>
      <c r="L2" s="133">
        <f>IFERROR(_xlfn.XLOOKUP($A2,'Raw Data'!$G:$G,'Raw Data'!AE:AE),"")</f>
        <v>45.37</v>
      </c>
      <c r="M2" s="133">
        <f>IFERROR(_xlfn.XLOOKUP($A2,'Raw Data'!$G:$G,'Raw Data'!AF:AF),"")</f>
        <v>0</v>
      </c>
      <c r="N2" s="133">
        <f>IFERROR(_xlfn.XLOOKUP($A2,'Raw Data'!$G:$G,'Raw Data'!AG:AG),"")</f>
        <v>0</v>
      </c>
      <c r="O2" s="134" t="str">
        <f>IFERROR(1-SUMIF('Plant BD'!$H:$H,$A2,'Plant BD'!$AE:$AE)/($AA2+SUMIF('Plant BD'!$H:$H,$A2,'Plant BD'!$AE:$AE)),"")</f>
        <v/>
      </c>
      <c r="P2" s="134"/>
      <c r="Q2" s="135"/>
      <c r="R2" s="134" t="str">
        <f>IFERROR(1-SUMIF('Grid BD'!$H:$H,$A2,'Grid BD'!$AD:$AD)/($AA2+SUMIF('Grid BD'!$H:$H,$A2,'Grid BD'!$AD:$AD)),"")</f>
        <v/>
      </c>
      <c r="T2" s="135"/>
      <c r="U2" s="136" t="str">
        <f t="shared" ref="U2:U52" si="1">IFERROR(AA2/I2/AB2/1000,"")</f>
        <v/>
      </c>
      <c r="V2" s="136"/>
      <c r="W2" s="137" t="str">
        <f t="shared" ref="W2:W52" si="2">IFERROR(AA2/(24*AB2*1000),"")</f>
        <v/>
      </c>
      <c r="X2" s="130">
        <f>IFERROR(_xlfn.XLOOKUP($A2,'Raw Data'!$G:$G,'Raw Data'!AI:AI),"")</f>
        <v>25201</v>
      </c>
      <c r="Y2" s="130" t="str">
        <f>IFERROR(_xlfn.XLOOKUP($A2,'Raw Data'!$G:$G,'Raw Data'!AJ:AJ),"")</f>
        <v/>
      </c>
      <c r="Z2" s="130" t="str">
        <f>IFERROR(_xlfn.XLOOKUP($A2,'Raw Data'!$G:$G,'Raw Data'!AK:AK),"")</f>
        <v/>
      </c>
      <c r="AA2" s="130" t="str">
        <f>IFERROR(_xlfn.XLOOKUP($A2,'Raw Data'!$G:$G,'Raw Data'!AL:AL),"")</f>
        <v/>
      </c>
      <c r="AB2" s="130">
        <f>IFERROR(_xlfn.XLOOKUP($A2,'Raw Data'!$G:$G,'Raw Data'!H:H),"")</f>
        <v>8.0208999999999993</v>
      </c>
      <c r="AC2" s="76">
        <f>IFERROR(_xlfn.XLOOKUP($D2,'Modelling New'!$D:$D,'Modelling New'!P:P),"")</f>
        <v>6.7870967741935484</v>
      </c>
      <c r="AD2" s="130">
        <f>IFERROR(_xlfn.XLOOKUP($D2,'Modelling New'!$D:$D,'Modelling New'!$T:$T)*1000,"")</f>
        <v>38844.774238777645</v>
      </c>
      <c r="AE2" s="138">
        <f>IFERROR(_xlfn.XLOOKUP($D2,'Modelling New'!$D:$D,'Modelling New'!O:O),"")</f>
        <v>0.71355172148533519</v>
      </c>
      <c r="AF2" s="137">
        <f>IFERROR(_xlfn.XLOOKUP($D2,'Modelling New'!$D:$D,'Modelling New'!W:W),"")</f>
        <v>0.20178935779639051</v>
      </c>
      <c r="AG2" s="137">
        <f>IFERROR(_xlfn.XLOOKUP($D2,'Modelling New'!$D:$D,'Modelling New'!AE:AE),"")</f>
        <v>0.98040000000000005</v>
      </c>
      <c r="AH2" s="156">
        <f>IFERROR(_xlfn.XLOOKUP($D2,'Modelling New'!$D:$D,'Modelling New'!AF:AF),"")</f>
        <v>0.98</v>
      </c>
      <c r="AN2" s="134"/>
      <c r="AO2" s="137"/>
      <c r="AP2" s="137"/>
      <c r="AQ2" s="137"/>
      <c r="AR2" s="130">
        <f>'Basic Data'!$B$98/1000</f>
        <v>8.0208999999999993</v>
      </c>
    </row>
    <row r="3" spans="1:45" x14ac:dyDescent="0.3">
      <c r="A3" s="129">
        <f t="shared" ref="A3:A53" si="3">A2+1</f>
        <v>45746</v>
      </c>
      <c r="B3" s="130">
        <f>YEAR(Table13[[#This Row],[Date]])+IF(MONTH(Table13[[#This Row],[Date]])&gt;=4,1,0)</f>
        <v>2025</v>
      </c>
      <c r="C3" s="7">
        <f>YEAR(Table13[[#This Row],[Date]])</f>
        <v>2025</v>
      </c>
      <c r="D3" s="131">
        <f>Table13[[#This Row],[Date]]-DAY(Table13[[#This Row],[Date]])+1</f>
        <v>45717</v>
      </c>
      <c r="E3" s="7">
        <f t="shared" si="0"/>
        <v>31</v>
      </c>
      <c r="F3" s="132">
        <f>IFERROR(_xlfn.XLOOKUP($A3,'Raw Data'!$G:$G,'Raw Data'!$AM:$AM),"")</f>
        <v>12.1</v>
      </c>
      <c r="G3" s="133">
        <f>IFERROR(_xlfn.XLOOKUP($A3,'Raw Data'!$G:$G,'Raw Data'!$AB:$AB),"")</f>
        <v>0</v>
      </c>
      <c r="H3" s="133"/>
      <c r="I3" s="133">
        <f>IFERROR(_xlfn.XLOOKUP($A3,'Raw Data'!$G:$G,'Raw Data'!$AC:$AC),"")</f>
        <v>5.95</v>
      </c>
      <c r="J3" s="133"/>
      <c r="K3" s="133">
        <f>IFERROR(_xlfn.XLOOKUP($A3,'Raw Data'!$G:$G,'Raw Data'!AD:AD),"")</f>
        <v>0</v>
      </c>
      <c r="L3" s="133">
        <f>IFERROR(_xlfn.XLOOKUP($A3,'Raw Data'!$G:$G,'Raw Data'!AE:AE),"")</f>
        <v>45.2</v>
      </c>
      <c r="M3" s="133">
        <f>IFERROR(_xlfn.XLOOKUP($A3,'Raw Data'!$G:$G,'Raw Data'!AF:AF),"")</f>
        <v>0</v>
      </c>
      <c r="N3" s="133">
        <f>IFERROR(_xlfn.XLOOKUP($A3,'Raw Data'!$G:$G,'Raw Data'!AG:AG),"")</f>
        <v>0</v>
      </c>
      <c r="O3" s="134">
        <f>IFERROR(1-SUMIF('Plant BD'!$H:$H,$A3,'Plant BD'!$AE:$AE)/($AA3+SUMIF('Plant BD'!$H:$H,$A3,'Plant BD'!$AE:$AE)),"")</f>
        <v>0.77118218880786249</v>
      </c>
      <c r="P3" s="134"/>
      <c r="Q3" s="135"/>
      <c r="R3" s="134">
        <f>IFERROR(1-SUMIF('Grid BD'!$H:$H,$A3,'Grid BD'!$AD:$AD)/($AA3+SUMIF('Grid BD'!$H:$H,$A3,'Grid BD'!$AD:$AD)),"")</f>
        <v>1</v>
      </c>
      <c r="T3" s="135"/>
      <c r="U3" s="136">
        <f t="shared" si="1"/>
        <v>0.56784423802054784</v>
      </c>
      <c r="V3" s="136"/>
      <c r="W3" s="137">
        <f t="shared" si="2"/>
        <v>0.14077805067592747</v>
      </c>
      <c r="X3" s="130">
        <f>IFERROR(_xlfn.XLOOKUP($A3,'Raw Data'!$G:$G,'Raw Data'!AI:AI),"")</f>
        <v>27454</v>
      </c>
      <c r="Y3" s="130">
        <f>IFERROR(_xlfn.XLOOKUP($A3,'Raw Data'!$G:$G,'Raw Data'!AJ:AJ),"")</f>
        <v>27199.99999999709</v>
      </c>
      <c r="Z3" s="130">
        <f>IFERROR(_xlfn.XLOOKUP($A3,'Raw Data'!$G:$G,'Raw Data'!AK:AK),"")</f>
        <v>99.999999999965894</v>
      </c>
      <c r="AA3" s="130">
        <f>IFERROR(_xlfn.XLOOKUP($A3,'Raw Data'!$G:$G,'Raw Data'!AL:AL),"")</f>
        <v>27099.999999997122</v>
      </c>
      <c r="AB3" s="130">
        <f>IFERROR(_xlfn.XLOOKUP($A3,'Raw Data'!$G:$G,'Raw Data'!H:H),"")</f>
        <v>8.0208999999999993</v>
      </c>
      <c r="AC3" s="76">
        <f>IFERROR(_xlfn.XLOOKUP($D3,'Modelling New'!$D:$D,'Modelling New'!P:P),"")</f>
        <v>6.7870967741935484</v>
      </c>
      <c r="AD3" s="130">
        <f>IFERROR(_xlfn.XLOOKUP($D3,'Modelling New'!$D:$D,'Modelling New'!$T:$T)*1000,"")</f>
        <v>38844.774238777645</v>
      </c>
      <c r="AE3" s="138">
        <f>IFERROR(_xlfn.XLOOKUP($D3,'Modelling New'!$D:$D,'Modelling New'!O:O),"")</f>
        <v>0.71355172148533519</v>
      </c>
      <c r="AF3" s="137">
        <f>IFERROR(_xlfn.XLOOKUP($D3,'Modelling New'!$D:$D,'Modelling New'!W:W),"")</f>
        <v>0.20178935779639051</v>
      </c>
      <c r="AG3" s="137">
        <f>IFERROR(_xlfn.XLOOKUP($D3,'Modelling New'!$D:$D,'Modelling New'!AE:AE),"")</f>
        <v>0.98040000000000005</v>
      </c>
      <c r="AH3" s="156">
        <f>IFERROR(_xlfn.XLOOKUP($D3,'Modelling New'!$D:$D,'Modelling New'!AF:AF),"")</f>
        <v>0.98</v>
      </c>
      <c r="AN3" s="134"/>
      <c r="AO3" s="137"/>
      <c r="AP3" s="137"/>
      <c r="AQ3" s="137"/>
      <c r="AR3" s="130">
        <f>'Basic Data'!$B$98/1000</f>
        <v>8.0208999999999993</v>
      </c>
    </row>
    <row r="4" spans="1:45" x14ac:dyDescent="0.3">
      <c r="A4" s="129">
        <f t="shared" si="3"/>
        <v>45747</v>
      </c>
      <c r="B4" s="130">
        <f>YEAR(Table13[[#This Row],[Date]])+IF(MONTH(Table13[[#This Row],[Date]])&gt;=4,1,0)</f>
        <v>2025</v>
      </c>
      <c r="C4" s="7">
        <f>YEAR(Table13[[#This Row],[Date]])</f>
        <v>2025</v>
      </c>
      <c r="D4" s="131">
        <f>Table13[[#This Row],[Date]]-DAY(Table13[[#This Row],[Date]])+1</f>
        <v>45717</v>
      </c>
      <c r="E4" s="7">
        <f t="shared" si="0"/>
        <v>31</v>
      </c>
      <c r="F4" s="132">
        <f>IFERROR(_xlfn.XLOOKUP($A4,'Raw Data'!$G:$G,'Raw Data'!$AM:$AM),"")</f>
        <v>12.150000000000002</v>
      </c>
      <c r="G4" s="133">
        <f>IFERROR(_xlfn.XLOOKUP($A4,'Raw Data'!$G:$G,'Raw Data'!$AB:$AB),"")</f>
        <v>0</v>
      </c>
      <c r="H4" s="133"/>
      <c r="I4" s="133">
        <f>IFERROR(_xlfn.XLOOKUP($A4,'Raw Data'!$G:$G,'Raw Data'!$AC:$AC),"")</f>
        <v>5.99</v>
      </c>
      <c r="J4" s="133"/>
      <c r="K4" s="133">
        <f>IFERROR(_xlfn.XLOOKUP($A4,'Raw Data'!$G:$G,'Raw Data'!AD:AD),"")</f>
        <v>0</v>
      </c>
      <c r="L4" s="133">
        <f>IFERROR(_xlfn.XLOOKUP($A4,'Raw Data'!$G:$G,'Raw Data'!AE:AE),"")</f>
        <v>44.04</v>
      </c>
      <c r="M4" s="133">
        <f>IFERROR(_xlfn.XLOOKUP($A4,'Raw Data'!$G:$G,'Raw Data'!AF:AF),"")</f>
        <v>0</v>
      </c>
      <c r="N4" s="133">
        <f>IFERROR(_xlfn.XLOOKUP($A4,'Raw Data'!$G:$G,'Raw Data'!AG:AG),"")</f>
        <v>0</v>
      </c>
      <c r="O4" s="134">
        <f>IFERROR(1-SUMIF('Plant BD'!$H:$H,$A4,'Plant BD'!$AE:$AE)/($AA4+SUMIF('Plant BD'!$H:$H,$A4,'Plant BD'!$AE:$AE)),"")</f>
        <v>0.77417369742358744</v>
      </c>
      <c r="P4" s="134"/>
      <c r="Q4" s="135"/>
      <c r="R4" s="134">
        <f>IFERROR(1-SUMIF('Grid BD'!$H:$H,$A4,'Grid BD'!$AD:$AD)/($AA4+SUMIF('Grid BD'!$H:$H,$A4,'Grid BD'!$AD:$AD)),"")</f>
        <v>1</v>
      </c>
      <c r="T4" s="135"/>
      <c r="U4" s="136">
        <f t="shared" si="1"/>
        <v>0.56821503738030121</v>
      </c>
      <c r="V4" s="136"/>
      <c r="W4" s="137">
        <f t="shared" si="2"/>
        <v>0.14181700307950015</v>
      </c>
      <c r="X4" s="130">
        <f>IFERROR(_xlfn.XLOOKUP($A4,'Raw Data'!$G:$G,'Raw Data'!AI:AI),"")</f>
        <v>27676.2</v>
      </c>
      <c r="Y4" s="130">
        <f>IFERROR(_xlfn.XLOOKUP($A4,'Raw Data'!$G:$G,'Raw Data'!AJ:AJ),"")</f>
        <v>27400.000000008731</v>
      </c>
      <c r="Z4" s="130">
        <f>IFERROR(_xlfn.XLOOKUP($A4,'Raw Data'!$G:$G,'Raw Data'!AK:AK),"")</f>
        <v>100.00000000002274</v>
      </c>
      <c r="AA4" s="130">
        <f>IFERROR(_xlfn.XLOOKUP($A4,'Raw Data'!$G:$G,'Raw Data'!AL:AL),"")</f>
        <v>27300.000000008709</v>
      </c>
      <c r="AB4" s="130">
        <f>IFERROR(_xlfn.XLOOKUP($A4,'Raw Data'!$G:$G,'Raw Data'!H:H),"")</f>
        <v>8.0208999999999993</v>
      </c>
      <c r="AC4" s="76">
        <f>IFERROR(_xlfn.XLOOKUP($D4,'Modelling New'!$D:$D,'Modelling New'!P:P),"")</f>
        <v>6.7870967741935484</v>
      </c>
      <c r="AD4" s="130">
        <f>IFERROR(_xlfn.XLOOKUP($D4,'Modelling New'!$D:$D,'Modelling New'!$T:$T)*1000,"")</f>
        <v>38844.774238777645</v>
      </c>
      <c r="AE4" s="138">
        <f>IFERROR(_xlfn.XLOOKUP($D4,'Modelling New'!$D:$D,'Modelling New'!O:O),"")</f>
        <v>0.71355172148533519</v>
      </c>
      <c r="AF4" s="137">
        <f>IFERROR(_xlfn.XLOOKUP($D4,'Modelling New'!$D:$D,'Modelling New'!W:W),"")</f>
        <v>0.20178935779639051</v>
      </c>
      <c r="AG4" s="137">
        <f>IFERROR(_xlfn.XLOOKUP($D4,'Modelling New'!$D:$D,'Modelling New'!AE:AE),"")</f>
        <v>0.98040000000000005</v>
      </c>
      <c r="AH4" s="156">
        <f>IFERROR(_xlfn.XLOOKUP($D4,'Modelling New'!$D:$D,'Modelling New'!AF:AF),"")</f>
        <v>0.98</v>
      </c>
      <c r="AN4" s="134"/>
      <c r="AO4" s="137"/>
      <c r="AP4" s="137"/>
      <c r="AQ4" s="137"/>
      <c r="AR4" s="130">
        <f>'Basic Data'!$B$98/1000</f>
        <v>8.0208999999999993</v>
      </c>
    </row>
    <row r="5" spans="1:45" x14ac:dyDescent="0.3">
      <c r="A5" s="129">
        <f t="shared" si="3"/>
        <v>45748</v>
      </c>
      <c r="B5" s="130">
        <f>YEAR(Table13[[#This Row],[Date]])+IF(MONTH(Table13[[#This Row],[Date]])&gt;=4,1,0)</f>
        <v>2026</v>
      </c>
      <c r="C5" s="7">
        <f>YEAR(Table13[[#This Row],[Date]])</f>
        <v>2025</v>
      </c>
      <c r="D5" s="131">
        <f>Table13[[#This Row],[Date]]-DAY(Table13[[#This Row],[Date]])+1</f>
        <v>45748</v>
      </c>
      <c r="E5" s="7">
        <f t="shared" si="0"/>
        <v>30</v>
      </c>
      <c r="F5" s="132">
        <f>IFERROR(_xlfn.XLOOKUP($A5,'Raw Data'!$G:$G,'Raw Data'!$AM:$AM),"")</f>
        <v>12.050000000000002</v>
      </c>
      <c r="G5" s="133">
        <f>IFERROR(_xlfn.XLOOKUP($A5,'Raw Data'!$G:$G,'Raw Data'!$AB:$AB),"")</f>
        <v>0</v>
      </c>
      <c r="H5" s="133"/>
      <c r="I5" s="133">
        <f>IFERROR(_xlfn.XLOOKUP($A5,'Raw Data'!$G:$G,'Raw Data'!$AC:$AC),"")</f>
        <v>6.04</v>
      </c>
      <c r="J5" s="133"/>
      <c r="K5" s="133">
        <f>IFERROR(_xlfn.XLOOKUP($A5,'Raw Data'!$G:$G,'Raw Data'!AD:AD),"")</f>
        <v>0</v>
      </c>
      <c r="L5" s="133">
        <f>IFERROR(_xlfn.XLOOKUP($A5,'Raw Data'!$G:$G,'Raw Data'!AE:AE),"")</f>
        <v>45.06</v>
      </c>
      <c r="M5" s="133">
        <f>IFERROR(_xlfn.XLOOKUP($A5,'Raw Data'!$G:$G,'Raw Data'!AF:AF),"")</f>
        <v>0</v>
      </c>
      <c r="N5" s="133">
        <f>IFERROR(_xlfn.XLOOKUP($A5,'Raw Data'!$G:$G,'Raw Data'!AG:AG),"")</f>
        <v>0</v>
      </c>
      <c r="O5" s="134">
        <f>IFERROR(1-SUMIF('Plant BD'!$H:$H,$A5,'Plant BD'!$AE:$AE)/($AA5+SUMIF('Plant BD'!$H:$H,$A5,'Plant BD'!$AE:$AE)),"")</f>
        <v>0.78522641333761389</v>
      </c>
      <c r="P5" s="134"/>
      <c r="Q5" s="135"/>
      <c r="R5" s="134">
        <f>IFERROR(1-SUMIF('Grid BD'!$H:$H,$A5,'Grid BD'!$AD:$AD)/($AA5+SUMIF('Grid BD'!$H:$H,$A5,'Grid BD'!$AD:$AD)),"")</f>
        <v>1</v>
      </c>
      <c r="T5" s="135"/>
      <c r="U5" s="136">
        <f t="shared" si="1"/>
        <v>0.56867163013436506</v>
      </c>
      <c r="V5" s="136"/>
      <c r="W5" s="137">
        <f t="shared" si="2"/>
        <v>0.14311569358381518</v>
      </c>
      <c r="X5" s="130">
        <f>IFERROR(_xlfn.XLOOKUP($A5,'Raw Data'!$G:$G,'Raw Data'!AI:AI),"")</f>
        <v>27882.6</v>
      </c>
      <c r="Y5" s="130">
        <f>IFERROR(_xlfn.XLOOKUP($A5,'Raw Data'!$G:$G,'Raw Data'!AJ:AJ),"")</f>
        <v>27649.999999994179</v>
      </c>
      <c r="Z5" s="130">
        <f>IFERROR(_xlfn.XLOOKUP($A5,'Raw Data'!$G:$G,'Raw Data'!AK:AK),"")</f>
        <v>100.00000000002274</v>
      </c>
      <c r="AA5" s="130">
        <f>IFERROR(_xlfn.XLOOKUP($A5,'Raw Data'!$G:$G,'Raw Data'!AL:AL),"")</f>
        <v>27549.999999994157</v>
      </c>
      <c r="AB5" s="130">
        <f>IFERROR(_xlfn.XLOOKUP($A5,'Raw Data'!$G:$G,'Raw Data'!H:H),"")</f>
        <v>8.0208999999999993</v>
      </c>
      <c r="AC5" s="76">
        <f>IFERROR(_xlfn.XLOOKUP($D5,'Modelling New'!$D:$D,'Modelling New'!P:P),"")</f>
        <v>6.39</v>
      </c>
      <c r="AD5" s="130">
        <f>IFERROR(_xlfn.XLOOKUP($D5,'Modelling New'!$D:$D,'Modelling New'!$T:$T)*1000,"")</f>
        <v>34610.228394529106</v>
      </c>
      <c r="AE5" s="138">
        <f>IFERROR(_xlfn.XLOOKUP($D5,'Modelling New'!$D:$D,'Modelling New'!O:O),"")</f>
        <v>0.67527474134483101</v>
      </c>
      <c r="AF5" s="137">
        <f>IFERROR(_xlfn.XLOOKUP($D5,'Modelling New'!$D:$D,'Modelling New'!W:W),"")</f>
        <v>0.17979189988306124</v>
      </c>
      <c r="AG5" s="137">
        <f>IFERROR(_xlfn.XLOOKUP($D5,'Modelling New'!$D:$D,'Modelling New'!AE:AE),"")</f>
        <v>0.98040000000000005</v>
      </c>
      <c r="AH5" s="156">
        <f>IFERROR(_xlfn.XLOOKUP($D5,'Modelling New'!$D:$D,'Modelling New'!AF:AF),"")</f>
        <v>0.98</v>
      </c>
      <c r="AN5" s="134"/>
      <c r="AO5" s="137"/>
      <c r="AP5" s="137"/>
      <c r="AQ5" s="137"/>
      <c r="AR5" s="130">
        <f>'Basic Data'!$B$98/1000</f>
        <v>8.0208999999999993</v>
      </c>
    </row>
    <row r="6" spans="1:45" x14ac:dyDescent="0.3">
      <c r="A6" s="129">
        <f t="shared" si="3"/>
        <v>45749</v>
      </c>
      <c r="B6" s="130">
        <f>YEAR(Table13[[#This Row],[Date]])+IF(MONTH(Table13[[#This Row],[Date]])&gt;=4,1,0)</f>
        <v>2026</v>
      </c>
      <c r="C6" s="7">
        <f>YEAR(Table13[[#This Row],[Date]])</f>
        <v>2025</v>
      </c>
      <c r="D6" s="131">
        <f>Table13[[#This Row],[Date]]-DAY(Table13[[#This Row],[Date]])+1</f>
        <v>45748</v>
      </c>
      <c r="E6" s="7">
        <f t="shared" si="0"/>
        <v>30</v>
      </c>
      <c r="F6" s="132">
        <f>IFERROR(_xlfn.XLOOKUP($A6,'Raw Data'!$G:$G,'Raw Data'!$AM:$AM),"")</f>
        <v>12.233333333333333</v>
      </c>
      <c r="G6" s="133">
        <f>IFERROR(_xlfn.XLOOKUP($A6,'Raw Data'!$G:$G,'Raw Data'!$AB:$AB),"")</f>
        <v>0</v>
      </c>
      <c r="H6" s="133"/>
      <c r="I6" s="133">
        <f>IFERROR(_xlfn.XLOOKUP($A6,'Raw Data'!$G:$G,'Raw Data'!$AC:$AC),"")</f>
        <v>6.71</v>
      </c>
      <c r="J6" s="133"/>
      <c r="K6" s="133">
        <f>IFERROR(_xlfn.XLOOKUP($A6,'Raw Data'!$G:$G,'Raw Data'!AD:AD),"")</f>
        <v>0</v>
      </c>
      <c r="L6" s="133">
        <f>IFERROR(_xlfn.XLOOKUP($A6,'Raw Data'!$G:$G,'Raw Data'!AE:AE),"")</f>
        <v>44.65</v>
      </c>
      <c r="M6" s="133">
        <f>IFERROR(_xlfn.XLOOKUP($A6,'Raw Data'!$G:$G,'Raw Data'!AF:AF),"")</f>
        <v>0</v>
      </c>
      <c r="N6" s="133">
        <f>IFERROR(_xlfn.XLOOKUP($A6,'Raw Data'!$G:$G,'Raw Data'!AG:AG),"")</f>
        <v>0</v>
      </c>
      <c r="O6" s="134">
        <f>IFERROR(1-SUMIF('Plant BD'!$H:$H,$A6,'Plant BD'!$AE:$AE)/($AA6+SUMIF('Plant BD'!$H:$H,$A6,'Plant BD'!$AE:$AE)),"")</f>
        <v>0.73585264965121833</v>
      </c>
      <c r="P6" s="134"/>
      <c r="Q6" s="135"/>
      <c r="R6" s="134">
        <f>IFERROR(1-SUMIF('Grid BD'!$H:$H,$A6,'Grid BD'!$AD:$AD)/($AA6+SUMIF('Grid BD'!$H:$H,$A6,'Grid BD'!$AD:$AD)),"")</f>
        <v>0.96755136146950538</v>
      </c>
      <c r="T6" s="135"/>
      <c r="U6" s="136">
        <f t="shared" si="1"/>
        <v>0.53325664347203938</v>
      </c>
      <c r="V6" s="136"/>
      <c r="W6" s="137">
        <f t="shared" si="2"/>
        <v>0.14908966990405764</v>
      </c>
      <c r="X6" s="130">
        <f>IFERROR(_xlfn.XLOOKUP($A6,'Raw Data'!$G:$G,'Raw Data'!AI:AI),"")</f>
        <v>29060.9</v>
      </c>
      <c r="Y6" s="130">
        <f>IFERROR(_xlfn.XLOOKUP($A6,'Raw Data'!$G:$G,'Raw Data'!AJ:AJ),"")</f>
        <v>28800.00000000291</v>
      </c>
      <c r="Z6" s="130">
        <f>IFERROR(_xlfn.XLOOKUP($A6,'Raw Data'!$G:$G,'Raw Data'!AK:AK),"")</f>
        <v>99.999999999965894</v>
      </c>
      <c r="AA6" s="130">
        <f>IFERROR(_xlfn.XLOOKUP($A6,'Raw Data'!$G:$G,'Raw Data'!AL:AL),"")</f>
        <v>28700.000000002943</v>
      </c>
      <c r="AB6" s="130">
        <f>IFERROR(_xlfn.XLOOKUP($A6,'Raw Data'!$G:$G,'Raw Data'!H:H),"")</f>
        <v>8.0208999999999993</v>
      </c>
      <c r="AC6" s="76">
        <f>IFERROR(_xlfn.XLOOKUP($D6,'Modelling New'!$D:$D,'Modelling New'!P:P),"")</f>
        <v>6.39</v>
      </c>
      <c r="AD6" s="130">
        <f>IFERROR(_xlfn.XLOOKUP($D6,'Modelling New'!$D:$D,'Modelling New'!$T:$T)*1000,"")</f>
        <v>34610.228394529106</v>
      </c>
      <c r="AE6" s="138">
        <f>IFERROR(_xlfn.XLOOKUP($D6,'Modelling New'!$D:$D,'Modelling New'!O:O),"")</f>
        <v>0.67527474134483101</v>
      </c>
      <c r="AF6" s="137">
        <f>IFERROR(_xlfn.XLOOKUP($D6,'Modelling New'!$D:$D,'Modelling New'!W:W),"")</f>
        <v>0.17979189988306124</v>
      </c>
      <c r="AG6" s="137">
        <f>IFERROR(_xlfn.XLOOKUP($D6,'Modelling New'!$D:$D,'Modelling New'!AE:AE),"")</f>
        <v>0.98040000000000005</v>
      </c>
      <c r="AH6" s="156">
        <f>IFERROR(_xlfn.XLOOKUP($D6,'Modelling New'!$D:$D,'Modelling New'!AF:AF),"")</f>
        <v>0.98</v>
      </c>
      <c r="AN6" s="134"/>
      <c r="AO6" s="137"/>
      <c r="AP6" s="137"/>
      <c r="AQ6" s="137"/>
      <c r="AR6" s="130">
        <f>'Basic Data'!$B$98/1000</f>
        <v>8.0208999999999993</v>
      </c>
    </row>
    <row r="7" spans="1:45" x14ac:dyDescent="0.3">
      <c r="A7" s="129">
        <f t="shared" si="3"/>
        <v>45750</v>
      </c>
      <c r="B7" s="130">
        <f>YEAR(Table13[[#This Row],[Date]])+IF(MONTH(Table13[[#This Row],[Date]])&gt;=4,1,0)</f>
        <v>2026</v>
      </c>
      <c r="C7" s="7">
        <f>YEAR(Table13[[#This Row],[Date]])</f>
        <v>2025</v>
      </c>
      <c r="D7" s="131">
        <f>Table13[[#This Row],[Date]]-DAY(Table13[[#This Row],[Date]])+1</f>
        <v>45748</v>
      </c>
      <c r="E7" s="7">
        <f t="shared" si="0"/>
        <v>30</v>
      </c>
      <c r="F7" s="132">
        <f>IFERROR(_xlfn.XLOOKUP($A7,'Raw Data'!$G:$G,'Raw Data'!$AM:$AM),"")</f>
        <v>11.450000000000001</v>
      </c>
      <c r="G7" s="133">
        <f>IFERROR(_xlfn.XLOOKUP($A7,'Raw Data'!$G:$G,'Raw Data'!$AB:$AB),"")</f>
        <v>0</v>
      </c>
      <c r="H7" s="133"/>
      <c r="I7" s="133">
        <f>IFERROR(_xlfn.XLOOKUP($A7,'Raw Data'!$G:$G,'Raw Data'!$AC:$AC),"")</f>
        <v>3.79</v>
      </c>
      <c r="J7" s="133"/>
      <c r="K7" s="133">
        <f>IFERROR(_xlfn.XLOOKUP($A7,'Raw Data'!$G:$G,'Raw Data'!AD:AD),"")</f>
        <v>0</v>
      </c>
      <c r="L7" s="133">
        <f>IFERROR(_xlfn.XLOOKUP($A7,'Raw Data'!$G:$G,'Raw Data'!AE:AE),"")</f>
        <v>36.42</v>
      </c>
      <c r="M7" s="133">
        <f>IFERROR(_xlfn.XLOOKUP($A7,'Raw Data'!$G:$G,'Raw Data'!AF:AF),"")</f>
        <v>0</v>
      </c>
      <c r="N7" s="133">
        <f>IFERROR(_xlfn.XLOOKUP($A7,'Raw Data'!$G:$G,'Raw Data'!AG:AG),"")</f>
        <v>0</v>
      </c>
      <c r="O7" s="134">
        <f>IFERROR(1-SUMIF('Plant BD'!$H:$H,$A7,'Plant BD'!$AE:$AE)/($AA7+SUMIF('Plant BD'!$H:$H,$A7,'Plant BD'!$AE:$AE)),"")</f>
        <v>0.79568966712476441</v>
      </c>
      <c r="P7" s="134"/>
      <c r="Q7" s="135"/>
      <c r="R7" s="134">
        <f>IFERROR(1-SUMIF('Grid BD'!$H:$H,$A7,'Grid BD'!$AD:$AD)/($AA7+SUMIF('Grid BD'!$H:$H,$A7,'Grid BD'!$AD:$AD)),"")</f>
        <v>0.73867038187190626</v>
      </c>
      <c r="T7" s="135"/>
      <c r="U7" s="136">
        <f t="shared" si="1"/>
        <v>0.48849952059601376</v>
      </c>
      <c r="V7" s="136"/>
      <c r="W7" s="137">
        <f t="shared" si="2"/>
        <v>7.7142215960787172E-2</v>
      </c>
      <c r="X7" s="130">
        <f>IFERROR(_xlfn.XLOOKUP($A7,'Raw Data'!$G:$G,'Raw Data'!AI:AI),"")</f>
        <v>15103.300000000001</v>
      </c>
      <c r="Y7" s="130">
        <f>IFERROR(_xlfn.XLOOKUP($A7,'Raw Data'!$G:$G,'Raw Data'!AJ:AJ),"")</f>
        <v>14949.99999999709</v>
      </c>
      <c r="Z7" s="130">
        <f>IFERROR(_xlfn.XLOOKUP($A7,'Raw Data'!$G:$G,'Raw Data'!AK:AK),"")</f>
        <v>100.00000000002274</v>
      </c>
      <c r="AA7" s="130">
        <f>IFERROR(_xlfn.XLOOKUP($A7,'Raw Data'!$G:$G,'Raw Data'!AL:AL),"")</f>
        <v>14849.999999997068</v>
      </c>
      <c r="AB7" s="130">
        <f>IFERROR(_xlfn.XLOOKUP($A7,'Raw Data'!$G:$G,'Raw Data'!H:H),"")</f>
        <v>8.0208999999999993</v>
      </c>
      <c r="AC7" s="76">
        <f>IFERROR(_xlfn.XLOOKUP($D7,'Modelling New'!$D:$D,'Modelling New'!P:P),"")</f>
        <v>6.39</v>
      </c>
      <c r="AD7" s="130">
        <f>IFERROR(_xlfn.XLOOKUP($D7,'Modelling New'!$D:$D,'Modelling New'!$T:$T)*1000,"")</f>
        <v>34610.228394529106</v>
      </c>
      <c r="AE7" s="138">
        <f>IFERROR(_xlfn.XLOOKUP($D7,'Modelling New'!$D:$D,'Modelling New'!O:O),"")</f>
        <v>0.67527474134483101</v>
      </c>
      <c r="AF7" s="137">
        <f>IFERROR(_xlfn.XLOOKUP($D7,'Modelling New'!$D:$D,'Modelling New'!W:W),"")</f>
        <v>0.17979189988306124</v>
      </c>
      <c r="AG7" s="137">
        <f>IFERROR(_xlfn.XLOOKUP($D7,'Modelling New'!$D:$D,'Modelling New'!AE:AE),"")</f>
        <v>0.98040000000000005</v>
      </c>
      <c r="AH7" s="156">
        <f>IFERROR(_xlfn.XLOOKUP($D7,'Modelling New'!$D:$D,'Modelling New'!AF:AF),"")</f>
        <v>0.98</v>
      </c>
      <c r="AN7" s="134"/>
      <c r="AO7" s="137"/>
      <c r="AP7" s="137"/>
      <c r="AQ7" s="137"/>
      <c r="AR7" s="130">
        <f>'Basic Data'!$B$98/1000</f>
        <v>8.0208999999999993</v>
      </c>
    </row>
    <row r="8" spans="1:45" x14ac:dyDescent="0.3">
      <c r="A8" s="129">
        <f t="shared" si="3"/>
        <v>45751</v>
      </c>
      <c r="B8" s="130">
        <f>YEAR(Table13[[#This Row],[Date]])+IF(MONTH(Table13[[#This Row],[Date]])&gt;=4,1,0)</f>
        <v>2026</v>
      </c>
      <c r="C8" s="7">
        <f>YEAR(Table13[[#This Row],[Date]])</f>
        <v>2025</v>
      </c>
      <c r="D8" s="131">
        <f>Table13[[#This Row],[Date]]-DAY(Table13[[#This Row],[Date]])+1</f>
        <v>45748</v>
      </c>
      <c r="E8" s="7">
        <f t="shared" si="0"/>
        <v>30</v>
      </c>
      <c r="F8" s="132">
        <f>IFERROR(_xlfn.XLOOKUP($A8,'Raw Data'!$G:$G,'Raw Data'!$AM:$AM),"")</f>
        <v>12.350000000000001</v>
      </c>
      <c r="G8" s="133">
        <f>IFERROR(_xlfn.XLOOKUP($A8,'Raw Data'!$G:$G,'Raw Data'!$AB:$AB),"")</f>
        <v>0</v>
      </c>
      <c r="H8" s="133"/>
      <c r="I8" s="133">
        <f>IFERROR(_xlfn.XLOOKUP($A8,'Raw Data'!$G:$G,'Raw Data'!$AC:$AC),"")</f>
        <v>6.83</v>
      </c>
      <c r="J8" s="133"/>
      <c r="K8" s="133">
        <f>IFERROR(_xlfn.XLOOKUP($A8,'Raw Data'!$G:$G,'Raw Data'!AD:AD),"")</f>
        <v>0</v>
      </c>
      <c r="L8" s="133">
        <f>IFERROR(_xlfn.XLOOKUP($A8,'Raw Data'!$G:$G,'Raw Data'!AE:AE),"")</f>
        <v>44.06</v>
      </c>
      <c r="M8" s="133">
        <f>IFERROR(_xlfn.XLOOKUP($A8,'Raw Data'!$G:$G,'Raw Data'!AF:AF),"")</f>
        <v>0</v>
      </c>
      <c r="N8" s="133">
        <f>IFERROR(_xlfn.XLOOKUP($A8,'Raw Data'!$G:$G,'Raw Data'!AG:AG),"")</f>
        <v>0</v>
      </c>
      <c r="O8" s="134">
        <f>IFERROR(1-SUMIF('Plant BD'!$H:$H,$A8,'Plant BD'!$AE:$AE)/($AA8+SUMIF('Plant BD'!$H:$H,$A8,'Plant BD'!$AE:$AE)),"")</f>
        <v>0.75012404818986345</v>
      </c>
      <c r="P8" s="134"/>
      <c r="Q8" s="135"/>
      <c r="R8" s="134">
        <f>IFERROR(1-SUMIF('Grid BD'!$H:$H,$A8,'Grid BD'!$AD:$AD)/($AA8+SUMIF('Grid BD'!$H:$H,$A8,'Grid BD'!$AD:$AD)),"")</f>
        <v>1</v>
      </c>
      <c r="T8" s="135"/>
      <c r="U8" s="136">
        <f t="shared" si="1"/>
        <v>0.58321281333341946</v>
      </c>
      <c r="V8" s="136"/>
      <c r="W8" s="137">
        <f t="shared" si="2"/>
        <v>0.1659726464611356</v>
      </c>
      <c r="X8" s="130">
        <f>IFERROR(_xlfn.XLOOKUP($A8,'Raw Data'!$G:$G,'Raw Data'!AI:AI),"")</f>
        <v>32349.9</v>
      </c>
      <c r="Y8" s="130">
        <f>IFERROR(_xlfn.XLOOKUP($A8,'Raw Data'!$G:$G,'Raw Data'!AJ:AJ),"")</f>
        <v>32050.00000000291</v>
      </c>
      <c r="Z8" s="130">
        <f>IFERROR(_xlfn.XLOOKUP($A8,'Raw Data'!$G:$G,'Raw Data'!AK:AK),"")</f>
        <v>99.999999999965894</v>
      </c>
      <c r="AA8" s="130">
        <f>IFERROR(_xlfn.XLOOKUP($A8,'Raw Data'!$G:$G,'Raw Data'!AL:AL),"")</f>
        <v>31950.000000002943</v>
      </c>
      <c r="AB8" s="130">
        <f>IFERROR(_xlfn.XLOOKUP($A8,'Raw Data'!$G:$G,'Raw Data'!H:H),"")</f>
        <v>8.0208999999999993</v>
      </c>
      <c r="AC8" s="76">
        <f>IFERROR(_xlfn.XLOOKUP($D8,'Modelling New'!$D:$D,'Modelling New'!P:P),"")</f>
        <v>6.39</v>
      </c>
      <c r="AD8" s="130">
        <f>IFERROR(_xlfn.XLOOKUP($D8,'Modelling New'!$D:$D,'Modelling New'!$T:$T)*1000,"")</f>
        <v>34610.228394529106</v>
      </c>
      <c r="AE8" s="138">
        <f>IFERROR(_xlfn.XLOOKUP($D8,'Modelling New'!$D:$D,'Modelling New'!O:O),"")</f>
        <v>0.67527474134483101</v>
      </c>
      <c r="AF8" s="137">
        <f>IFERROR(_xlfn.XLOOKUP($D8,'Modelling New'!$D:$D,'Modelling New'!W:W),"")</f>
        <v>0.17979189988306124</v>
      </c>
      <c r="AG8" s="137">
        <f>IFERROR(_xlfn.XLOOKUP($D8,'Modelling New'!$D:$D,'Modelling New'!AE:AE),"")</f>
        <v>0.98040000000000005</v>
      </c>
      <c r="AH8" s="156">
        <f>IFERROR(_xlfn.XLOOKUP($D8,'Modelling New'!$D:$D,'Modelling New'!AF:AF),"")</f>
        <v>0.98</v>
      </c>
      <c r="AN8" s="134"/>
      <c r="AO8" s="137"/>
      <c r="AP8" s="137"/>
      <c r="AQ8" s="137"/>
      <c r="AR8" s="130">
        <f>'Basic Data'!$B$98/1000</f>
        <v>8.0208999999999993</v>
      </c>
    </row>
    <row r="9" spans="1:45" x14ac:dyDescent="0.3">
      <c r="A9" s="129">
        <f t="shared" si="3"/>
        <v>45752</v>
      </c>
      <c r="B9" s="130">
        <f>YEAR(Table13[[#This Row],[Date]])+IF(MONTH(Table13[[#This Row],[Date]])&gt;=4,1,0)</f>
        <v>2026</v>
      </c>
      <c r="C9" s="7">
        <f>YEAR(Table13[[#This Row],[Date]])</f>
        <v>2025</v>
      </c>
      <c r="D9" s="131">
        <f>Table13[[#This Row],[Date]]-DAY(Table13[[#This Row],[Date]])+1</f>
        <v>45748</v>
      </c>
      <c r="E9" s="7">
        <f t="shared" si="0"/>
        <v>30</v>
      </c>
      <c r="F9" s="132">
        <f>IFERROR(_xlfn.XLOOKUP($A9,'Raw Data'!$G:$G,'Raw Data'!$AM:$AM),"")</f>
        <v>12.250000000000002</v>
      </c>
      <c r="G9" s="133">
        <f>IFERROR(_xlfn.XLOOKUP($A9,'Raw Data'!$G:$G,'Raw Data'!$AB:$AB),"")</f>
        <v>0</v>
      </c>
      <c r="H9" s="133"/>
      <c r="I9" s="133">
        <f>IFERROR(_xlfn.XLOOKUP($A9,'Raw Data'!$G:$G,'Raw Data'!$AC:$AC),"")</f>
        <v>6.96</v>
      </c>
      <c r="J9" s="133"/>
      <c r="K9" s="133">
        <f>IFERROR(_xlfn.XLOOKUP($A9,'Raw Data'!$G:$G,'Raw Data'!AD:AD),"")</f>
        <v>0</v>
      </c>
      <c r="L9" s="133">
        <f>IFERROR(_xlfn.XLOOKUP($A9,'Raw Data'!$G:$G,'Raw Data'!AE:AE),"")</f>
        <v>46.18</v>
      </c>
      <c r="M9" s="133">
        <f>IFERROR(_xlfn.XLOOKUP($A9,'Raw Data'!$G:$G,'Raw Data'!AF:AF),"")</f>
        <v>0</v>
      </c>
      <c r="N9" s="133">
        <f>IFERROR(_xlfn.XLOOKUP($A9,'Raw Data'!$G:$G,'Raw Data'!AG:AG),"")</f>
        <v>0</v>
      </c>
      <c r="O9" s="134">
        <f>IFERROR(1-SUMIF('Plant BD'!$H:$H,$A9,'Plant BD'!$AE:$AE)/($AA9+SUMIF('Plant BD'!$H:$H,$A9,'Plant BD'!$AE:$AE)),"")</f>
        <v>0.71496074669431287</v>
      </c>
      <c r="P9" s="134"/>
      <c r="Q9" s="135"/>
      <c r="R9" s="134">
        <f>IFERROR(1-SUMIF('Grid BD'!$H:$H,$A9,'Grid BD'!$AD:$AD)/($AA9+SUMIF('Grid BD'!$H:$H,$A9,'Grid BD'!$AD:$AD)),"")</f>
        <v>1</v>
      </c>
      <c r="T9" s="135"/>
      <c r="U9" s="136">
        <f t="shared" si="1"/>
        <v>0.56425863294223222</v>
      </c>
      <c r="V9" s="136"/>
      <c r="W9" s="137">
        <f t="shared" si="2"/>
        <v>0.16363500355324734</v>
      </c>
      <c r="X9" s="130">
        <f>IFERROR(_xlfn.XLOOKUP($A9,'Raw Data'!$G:$G,'Raw Data'!AI:AI),"")</f>
        <v>31819</v>
      </c>
      <c r="Y9" s="130">
        <f>IFERROR(_xlfn.XLOOKUP($A9,'Raw Data'!$G:$G,'Raw Data'!AJ:AJ),"")</f>
        <v>31600.000000005821</v>
      </c>
      <c r="Z9" s="130">
        <f>IFERROR(_xlfn.XLOOKUP($A9,'Raw Data'!$G:$G,'Raw Data'!AK:AK),"")</f>
        <v>100.00000000002274</v>
      </c>
      <c r="AA9" s="130">
        <f>IFERROR(_xlfn.XLOOKUP($A9,'Raw Data'!$G:$G,'Raw Data'!AL:AL),"")</f>
        <v>31500.000000005799</v>
      </c>
      <c r="AB9" s="130">
        <f>IFERROR(_xlfn.XLOOKUP($A9,'Raw Data'!$G:$G,'Raw Data'!H:H),"")</f>
        <v>8.0208999999999993</v>
      </c>
      <c r="AC9" s="76">
        <f>IFERROR(_xlfn.XLOOKUP($D9,'Modelling New'!$D:$D,'Modelling New'!P:P),"")</f>
        <v>6.39</v>
      </c>
      <c r="AD9" s="130">
        <f>IFERROR(_xlfn.XLOOKUP($D9,'Modelling New'!$D:$D,'Modelling New'!$T:$T)*1000,"")</f>
        <v>34610.228394529106</v>
      </c>
      <c r="AE9" s="138">
        <f>IFERROR(_xlfn.XLOOKUP($D9,'Modelling New'!$D:$D,'Modelling New'!O:O),"")</f>
        <v>0.67527474134483101</v>
      </c>
      <c r="AF9" s="137">
        <f>IFERROR(_xlfn.XLOOKUP($D9,'Modelling New'!$D:$D,'Modelling New'!W:W),"")</f>
        <v>0.17979189988306124</v>
      </c>
      <c r="AG9" s="137">
        <f>IFERROR(_xlfn.XLOOKUP($D9,'Modelling New'!$D:$D,'Modelling New'!AE:AE),"")</f>
        <v>0.98040000000000005</v>
      </c>
      <c r="AH9" s="156">
        <f>IFERROR(_xlfn.XLOOKUP($D9,'Modelling New'!$D:$D,'Modelling New'!AF:AF),"")</f>
        <v>0.98</v>
      </c>
      <c r="AN9" s="134"/>
      <c r="AO9" s="137"/>
      <c r="AP9" s="137"/>
      <c r="AQ9" s="137"/>
      <c r="AR9" s="130">
        <f>'Basic Data'!$B$98/1000</f>
        <v>8.0208999999999993</v>
      </c>
    </row>
    <row r="10" spans="1:45" x14ac:dyDescent="0.3">
      <c r="A10" s="129">
        <f t="shared" si="3"/>
        <v>45753</v>
      </c>
      <c r="B10" s="130">
        <f>YEAR(Table13[[#This Row],[Date]])+IF(MONTH(Table13[[#This Row],[Date]])&gt;=4,1,0)</f>
        <v>2026</v>
      </c>
      <c r="C10" s="7">
        <f>YEAR(Table13[[#This Row],[Date]])</f>
        <v>2025</v>
      </c>
      <c r="D10" s="131">
        <f>Table13[[#This Row],[Date]]-DAY(Table13[[#This Row],[Date]])+1</f>
        <v>45748</v>
      </c>
      <c r="E10" s="7">
        <f t="shared" si="0"/>
        <v>30</v>
      </c>
      <c r="F10" s="132">
        <f>IFERROR(_xlfn.XLOOKUP($A10,'Raw Data'!$G:$G,'Raw Data'!$AM:$AM),"")</f>
        <v>12.2</v>
      </c>
      <c r="G10" s="133">
        <f>IFERROR(_xlfn.XLOOKUP($A10,'Raw Data'!$G:$G,'Raw Data'!$AB:$AB),"")</f>
        <v>0</v>
      </c>
      <c r="H10" s="133"/>
      <c r="I10" s="133">
        <f>IFERROR(_xlfn.XLOOKUP($A10,'Raw Data'!$G:$G,'Raw Data'!$AC:$AC),"")</f>
        <v>6.77</v>
      </c>
      <c r="J10" s="133"/>
      <c r="K10" s="133">
        <f>IFERROR(_xlfn.XLOOKUP($A10,'Raw Data'!$G:$G,'Raw Data'!AD:AD),"")</f>
        <v>0</v>
      </c>
      <c r="L10" s="133">
        <f>IFERROR(_xlfn.XLOOKUP($A10,'Raw Data'!$G:$G,'Raw Data'!AE:AE),"")</f>
        <v>45.22</v>
      </c>
      <c r="M10" s="133">
        <f>IFERROR(_xlfn.XLOOKUP($A10,'Raw Data'!$G:$G,'Raw Data'!AF:AF),"")</f>
        <v>0</v>
      </c>
      <c r="N10" s="133">
        <f>IFERROR(_xlfn.XLOOKUP($A10,'Raw Data'!$G:$G,'Raw Data'!AG:AG),"")</f>
        <v>0</v>
      </c>
      <c r="O10" s="134">
        <f>IFERROR(1-SUMIF('Plant BD'!$H:$H,$A10,'Plant BD'!$AE:$AE)/($AA10+SUMIF('Plant BD'!$H:$H,$A10,'Plant BD'!$AE:$AE)),"")</f>
        <v>0.77508534895068304</v>
      </c>
      <c r="P10" s="134"/>
      <c r="Q10" s="135"/>
      <c r="R10" s="134">
        <f>IFERROR(1-SUMIF('Grid BD'!$H:$H,$A10,'Grid BD'!$AD:$AD)/($AA10+SUMIF('Grid BD'!$H:$H,$A10,'Grid BD'!$AD:$AD)),"")</f>
        <v>1</v>
      </c>
      <c r="T10" s="135"/>
      <c r="U10" s="136">
        <f t="shared" si="1"/>
        <v>0.6242922271032213</v>
      </c>
      <c r="V10" s="136"/>
      <c r="W10" s="137">
        <f t="shared" si="2"/>
        <v>0.17610243239536699</v>
      </c>
      <c r="X10" s="130">
        <f>IFERROR(_xlfn.XLOOKUP($A10,'Raw Data'!$G:$G,'Raw Data'!AI:AI),"")</f>
        <v>34264.9</v>
      </c>
      <c r="Y10" s="130">
        <f>IFERROR(_xlfn.XLOOKUP($A10,'Raw Data'!$G:$G,'Raw Data'!AJ:AJ),"")</f>
        <v>34000</v>
      </c>
      <c r="Z10" s="130">
        <f>IFERROR(_xlfn.XLOOKUP($A10,'Raw Data'!$G:$G,'Raw Data'!AK:AK),"")</f>
        <v>100.00000000002274</v>
      </c>
      <c r="AA10" s="130">
        <f>IFERROR(_xlfn.XLOOKUP($A10,'Raw Data'!$G:$G,'Raw Data'!AL:AL),"")</f>
        <v>33899.999999999978</v>
      </c>
      <c r="AB10" s="130">
        <f>IFERROR(_xlfn.XLOOKUP($A10,'Raw Data'!$G:$G,'Raw Data'!H:H),"")</f>
        <v>8.0208999999999993</v>
      </c>
      <c r="AC10" s="76">
        <f>IFERROR(_xlfn.XLOOKUP($D10,'Modelling New'!$D:$D,'Modelling New'!P:P),"")</f>
        <v>6.39</v>
      </c>
      <c r="AD10" s="130">
        <f>IFERROR(_xlfn.XLOOKUP($D10,'Modelling New'!$D:$D,'Modelling New'!$T:$T)*1000,"")</f>
        <v>34610.228394529106</v>
      </c>
      <c r="AE10" s="138">
        <f>IFERROR(_xlfn.XLOOKUP($D10,'Modelling New'!$D:$D,'Modelling New'!O:O),"")</f>
        <v>0.67527474134483101</v>
      </c>
      <c r="AF10" s="137">
        <f>IFERROR(_xlfn.XLOOKUP($D10,'Modelling New'!$D:$D,'Modelling New'!W:W),"")</f>
        <v>0.17979189988306124</v>
      </c>
      <c r="AG10" s="137">
        <f>IFERROR(_xlfn.XLOOKUP($D10,'Modelling New'!$D:$D,'Modelling New'!AE:AE),"")</f>
        <v>0.98040000000000005</v>
      </c>
      <c r="AH10" s="156">
        <f>IFERROR(_xlfn.XLOOKUP($D10,'Modelling New'!$D:$D,'Modelling New'!AF:AF),"")</f>
        <v>0.98</v>
      </c>
      <c r="AN10" s="134"/>
      <c r="AO10" s="137"/>
      <c r="AP10" s="137"/>
      <c r="AQ10" s="137"/>
      <c r="AR10" s="130">
        <f>'Basic Data'!$B$98/1000</f>
        <v>8.0208999999999993</v>
      </c>
    </row>
    <row r="11" spans="1:45" x14ac:dyDescent="0.3">
      <c r="A11" s="129">
        <f t="shared" si="3"/>
        <v>45754</v>
      </c>
      <c r="B11" s="130">
        <f>YEAR(Table13[[#This Row],[Date]])+IF(MONTH(Table13[[#This Row],[Date]])&gt;=4,1,0)</f>
        <v>2026</v>
      </c>
      <c r="C11" s="7">
        <f>YEAR(Table13[[#This Row],[Date]])</f>
        <v>2025</v>
      </c>
      <c r="D11" s="131">
        <f>Table13[[#This Row],[Date]]-DAY(Table13[[#This Row],[Date]])+1</f>
        <v>45748</v>
      </c>
      <c r="E11" s="7">
        <f t="shared" si="0"/>
        <v>30</v>
      </c>
      <c r="F11" s="132">
        <f>IFERROR(_xlfn.XLOOKUP($A11,'Raw Data'!$G:$G,'Raw Data'!$AM:$AM),"")</f>
        <v>12.250000000000002</v>
      </c>
      <c r="G11" s="133">
        <f>IFERROR(_xlfn.XLOOKUP($A11,'Raw Data'!$G:$G,'Raw Data'!$AB:$AB),"")</f>
        <v>0</v>
      </c>
      <c r="H11" s="133"/>
      <c r="I11" s="133">
        <f>IFERROR(_xlfn.XLOOKUP($A11,'Raw Data'!$G:$G,'Raw Data'!$AC:$AC),"")</f>
        <v>5.97</v>
      </c>
      <c r="J11" s="133"/>
      <c r="K11" s="133">
        <f>IFERROR(_xlfn.XLOOKUP($A11,'Raw Data'!$G:$G,'Raw Data'!AD:AD),"")</f>
        <v>0</v>
      </c>
      <c r="L11" s="133">
        <f>IFERROR(_xlfn.XLOOKUP($A11,'Raw Data'!$G:$G,'Raw Data'!AE:AE),"")</f>
        <v>45.66</v>
      </c>
      <c r="M11" s="133">
        <f>IFERROR(_xlfn.XLOOKUP($A11,'Raw Data'!$G:$G,'Raw Data'!AF:AF),"")</f>
        <v>0</v>
      </c>
      <c r="N11" s="133">
        <f>IFERROR(_xlfn.XLOOKUP($A11,'Raw Data'!$G:$G,'Raw Data'!AG:AG),"")</f>
        <v>0</v>
      </c>
      <c r="O11" s="134">
        <f>IFERROR(1-SUMIF('Plant BD'!$H:$H,$A11,'Plant BD'!$AE:$AE)/($AA11+SUMIF('Plant BD'!$H:$H,$A11,'Plant BD'!$AE:$AE)),"")</f>
        <v>0.81724170535259277</v>
      </c>
      <c r="P11" s="134"/>
      <c r="Q11" s="135"/>
      <c r="R11" s="134">
        <f>IFERROR(1-SUMIF('Grid BD'!$H:$H,$A11,'Grid BD'!$AD:$AD)/($AA11+SUMIF('Grid BD'!$H:$H,$A11,'Grid BD'!$AD:$AD)),"")</f>
        <v>1</v>
      </c>
      <c r="T11" s="135"/>
      <c r="U11" s="136">
        <f t="shared" si="1"/>
        <v>0.73509798198246445</v>
      </c>
      <c r="V11" s="136"/>
      <c r="W11" s="137">
        <f t="shared" si="2"/>
        <v>0.18285562301813799</v>
      </c>
      <c r="X11" s="130">
        <f>IFERROR(_xlfn.XLOOKUP($A11,'Raw Data'!$G:$G,'Raw Data'!AI:AI),"")</f>
        <v>35585</v>
      </c>
      <c r="Y11" s="130">
        <f>IFERROR(_xlfn.XLOOKUP($A11,'Raw Data'!$G:$G,'Raw Data'!AJ:AJ),"")</f>
        <v>35299.999999988358</v>
      </c>
      <c r="Z11" s="130">
        <f>IFERROR(_xlfn.XLOOKUP($A11,'Raw Data'!$G:$G,'Raw Data'!AK:AK),"")</f>
        <v>99.999999999965894</v>
      </c>
      <c r="AA11" s="130">
        <f>IFERROR(_xlfn.XLOOKUP($A11,'Raw Data'!$G:$G,'Raw Data'!AL:AL),"")</f>
        <v>35199.999999988395</v>
      </c>
      <c r="AB11" s="130">
        <f>IFERROR(_xlfn.XLOOKUP($A11,'Raw Data'!$G:$G,'Raw Data'!H:H),"")</f>
        <v>8.0208999999999993</v>
      </c>
      <c r="AC11" s="76">
        <f>IFERROR(_xlfn.XLOOKUP($D11,'Modelling New'!$D:$D,'Modelling New'!P:P),"")</f>
        <v>6.39</v>
      </c>
      <c r="AD11" s="130">
        <f>IFERROR(_xlfn.XLOOKUP($D11,'Modelling New'!$D:$D,'Modelling New'!$T:$T)*1000,"")</f>
        <v>34610.228394529106</v>
      </c>
      <c r="AE11" s="138">
        <f>IFERROR(_xlfn.XLOOKUP($D11,'Modelling New'!$D:$D,'Modelling New'!O:O),"")</f>
        <v>0.67527474134483101</v>
      </c>
      <c r="AF11" s="137">
        <f>IFERROR(_xlfn.XLOOKUP($D11,'Modelling New'!$D:$D,'Modelling New'!W:W),"")</f>
        <v>0.17979189988306124</v>
      </c>
      <c r="AG11" s="137">
        <f>IFERROR(_xlfn.XLOOKUP($D11,'Modelling New'!$D:$D,'Modelling New'!AE:AE),"")</f>
        <v>0.98040000000000005</v>
      </c>
      <c r="AH11" s="156">
        <f>IFERROR(_xlfn.XLOOKUP($D11,'Modelling New'!$D:$D,'Modelling New'!AF:AF),"")</f>
        <v>0.98</v>
      </c>
      <c r="AN11" s="134"/>
      <c r="AO11" s="137"/>
      <c r="AP11" s="137"/>
      <c r="AQ11" s="137"/>
      <c r="AR11" s="130">
        <f>'Basic Data'!$B$98/1000</f>
        <v>8.0208999999999993</v>
      </c>
    </row>
    <row r="12" spans="1:45" x14ac:dyDescent="0.3">
      <c r="A12" s="129">
        <f t="shared" si="3"/>
        <v>45755</v>
      </c>
      <c r="B12" s="130">
        <f>YEAR(Table13[[#This Row],[Date]])+IF(MONTH(Table13[[#This Row],[Date]])&gt;=4,1,0)</f>
        <v>2026</v>
      </c>
      <c r="C12" s="7">
        <f>YEAR(Table13[[#This Row],[Date]])</f>
        <v>2025</v>
      </c>
      <c r="D12" s="131">
        <f>Table13[[#This Row],[Date]]-DAY(Table13[[#This Row],[Date]])+1</f>
        <v>45748</v>
      </c>
      <c r="E12" s="7">
        <f t="shared" si="0"/>
        <v>30</v>
      </c>
      <c r="F12" s="132">
        <f>IFERROR(_xlfn.XLOOKUP($A12,'Raw Data'!$G:$G,'Raw Data'!$AM:$AM),"")</f>
        <v>12.200000000000003</v>
      </c>
      <c r="G12" s="133">
        <f>IFERROR(_xlfn.XLOOKUP($A12,'Raw Data'!$G:$G,'Raw Data'!$AB:$AB),"")</f>
        <v>0</v>
      </c>
      <c r="H12" s="133"/>
      <c r="I12" s="133">
        <f>IFERROR(_xlfn.XLOOKUP($A12,'Raw Data'!$G:$G,'Raw Data'!$AC:$AC),"")</f>
        <v>5.83</v>
      </c>
      <c r="J12" s="133"/>
      <c r="K12" s="133">
        <f>IFERROR(_xlfn.XLOOKUP($A12,'Raw Data'!$G:$G,'Raw Data'!AD:AD),"")</f>
        <v>0</v>
      </c>
      <c r="L12" s="133">
        <f>IFERROR(_xlfn.XLOOKUP($A12,'Raw Data'!$G:$G,'Raw Data'!AE:AE),"")</f>
        <v>43.19</v>
      </c>
      <c r="M12" s="133">
        <f>IFERROR(_xlfn.XLOOKUP($A12,'Raw Data'!$G:$G,'Raw Data'!AF:AF),"")</f>
        <v>0</v>
      </c>
      <c r="N12" s="133">
        <f>IFERROR(_xlfn.XLOOKUP($A12,'Raw Data'!$G:$G,'Raw Data'!AG:AG),"")</f>
        <v>0</v>
      </c>
      <c r="O12" s="134">
        <f>IFERROR(1-SUMIF('Plant BD'!$H:$H,$A12,'Plant BD'!$AE:$AE)/($AA12+SUMIF('Plant BD'!$H:$H,$A12,'Plant BD'!$AE:$AE)),"")</f>
        <v>0.87016506936805027</v>
      </c>
      <c r="P12" s="134"/>
      <c r="Q12" s="135"/>
      <c r="R12" s="134">
        <f>IFERROR(1-SUMIF('Grid BD'!$H:$H,$A12,'Grid BD'!$AD:$AD)/($AA12+SUMIF('Grid BD'!$H:$H,$A12,'Grid BD'!$AD:$AD)),"")</f>
        <v>1</v>
      </c>
      <c r="T12" s="135"/>
      <c r="U12" s="136">
        <f t="shared" si="1"/>
        <v>0.7495426773884426</v>
      </c>
      <c r="V12" s="136"/>
      <c r="W12" s="137">
        <f t="shared" si="2"/>
        <v>0.18207640871560915</v>
      </c>
      <c r="X12" s="130">
        <f>IFERROR(_xlfn.XLOOKUP($A12,'Raw Data'!$G:$G,'Raw Data'!AI:AI),"")</f>
        <v>35437.799999999996</v>
      </c>
      <c r="Y12" s="130">
        <f>IFERROR(_xlfn.XLOOKUP($A12,'Raw Data'!$G:$G,'Raw Data'!AJ:AJ),"")</f>
        <v>35150.000000008731</v>
      </c>
      <c r="Z12" s="130">
        <f>IFERROR(_xlfn.XLOOKUP($A12,'Raw Data'!$G:$G,'Raw Data'!AK:AK),"")</f>
        <v>100.00000000002274</v>
      </c>
      <c r="AA12" s="130">
        <f>IFERROR(_xlfn.XLOOKUP($A12,'Raw Data'!$G:$G,'Raw Data'!AL:AL),"")</f>
        <v>35050.000000008709</v>
      </c>
      <c r="AB12" s="130">
        <f>IFERROR(_xlfn.XLOOKUP($A12,'Raw Data'!$G:$G,'Raw Data'!H:H),"")</f>
        <v>8.0208999999999993</v>
      </c>
      <c r="AC12" s="76">
        <f>IFERROR(_xlfn.XLOOKUP($D12,'Modelling New'!$D:$D,'Modelling New'!P:P),"")</f>
        <v>6.39</v>
      </c>
      <c r="AD12" s="130">
        <f>IFERROR(_xlfn.XLOOKUP($D12,'Modelling New'!$D:$D,'Modelling New'!$T:$T)*1000,"")</f>
        <v>34610.228394529106</v>
      </c>
      <c r="AE12" s="138">
        <f>IFERROR(_xlfn.XLOOKUP($D12,'Modelling New'!$D:$D,'Modelling New'!O:O),"")</f>
        <v>0.67527474134483101</v>
      </c>
      <c r="AF12" s="137">
        <f>IFERROR(_xlfn.XLOOKUP($D12,'Modelling New'!$D:$D,'Modelling New'!W:W),"")</f>
        <v>0.17979189988306124</v>
      </c>
      <c r="AG12" s="137">
        <f>IFERROR(_xlfn.XLOOKUP($D12,'Modelling New'!$D:$D,'Modelling New'!AE:AE),"")</f>
        <v>0.98040000000000005</v>
      </c>
      <c r="AH12" s="156">
        <f>IFERROR(_xlfn.XLOOKUP($D12,'Modelling New'!$D:$D,'Modelling New'!AF:AF),"")</f>
        <v>0.98</v>
      </c>
      <c r="AN12" s="134"/>
      <c r="AO12" s="137"/>
      <c r="AP12" s="137"/>
      <c r="AQ12" s="137"/>
      <c r="AR12" s="130">
        <f>'Basic Data'!$B$98/1000</f>
        <v>8.0208999999999993</v>
      </c>
    </row>
    <row r="13" spans="1:45" x14ac:dyDescent="0.3">
      <c r="A13" s="129">
        <f t="shared" si="3"/>
        <v>45756</v>
      </c>
      <c r="B13" s="130">
        <f>YEAR(Table13[[#This Row],[Date]])+IF(MONTH(Table13[[#This Row],[Date]])&gt;=4,1,0)</f>
        <v>2026</v>
      </c>
      <c r="C13" s="7">
        <f>YEAR(Table13[[#This Row],[Date]])</f>
        <v>2025</v>
      </c>
      <c r="D13" s="131">
        <f>Table13[[#This Row],[Date]]-DAY(Table13[[#This Row],[Date]])+1</f>
        <v>45748</v>
      </c>
      <c r="E13" s="7">
        <f t="shared" si="0"/>
        <v>30</v>
      </c>
      <c r="F13" s="132">
        <f>IFERROR(_xlfn.XLOOKUP($A13,'Raw Data'!$G:$G,'Raw Data'!$AM:$AM),"")</f>
        <v>12.233333333333334</v>
      </c>
      <c r="G13" s="133">
        <f>IFERROR(_xlfn.XLOOKUP($A13,'Raw Data'!$G:$G,'Raw Data'!$AB:$AB),"")</f>
        <v>0</v>
      </c>
      <c r="H13" s="133"/>
      <c r="I13" s="133">
        <f>IFERROR(_xlfn.XLOOKUP($A13,'Raw Data'!$G:$G,'Raw Data'!$AC:$AC),"")</f>
        <v>6.34</v>
      </c>
      <c r="J13" s="133"/>
      <c r="K13" s="133">
        <f>IFERROR(_xlfn.XLOOKUP($A13,'Raw Data'!$G:$G,'Raw Data'!AD:AD),"")</f>
        <v>0</v>
      </c>
      <c r="L13" s="133">
        <f>IFERROR(_xlfn.XLOOKUP($A13,'Raw Data'!$G:$G,'Raw Data'!AE:AE),"")</f>
        <v>44.41</v>
      </c>
      <c r="M13" s="133">
        <f>IFERROR(_xlfn.XLOOKUP($A13,'Raw Data'!$G:$G,'Raw Data'!AF:AF),"")</f>
        <v>0</v>
      </c>
      <c r="N13" s="133">
        <f>IFERROR(_xlfn.XLOOKUP($A13,'Raw Data'!$G:$G,'Raw Data'!AG:AG),"")</f>
        <v>0</v>
      </c>
      <c r="O13" s="134">
        <f>IFERROR(1-SUMIF('Plant BD'!$H:$H,$A13,'Plant BD'!$AE:$AE)/($AA13+SUMIF('Plant BD'!$H:$H,$A13,'Plant BD'!$AE:$AE)),"")</f>
        <v>0.84304360467856565</v>
      </c>
      <c r="P13" s="134"/>
      <c r="Q13" s="135"/>
      <c r="R13" s="134">
        <f>IFERROR(1-SUMIF('Grid BD'!$H:$H,$A13,'Grid BD'!$AD:$AD)/($AA13+SUMIF('Grid BD'!$H:$H,$A13,'Grid BD'!$AD:$AD)),"")</f>
        <v>1</v>
      </c>
      <c r="T13" s="135"/>
      <c r="U13" s="136">
        <f t="shared" si="1"/>
        <v>0.71972854199156144</v>
      </c>
      <c r="V13" s="136"/>
      <c r="W13" s="137">
        <f t="shared" si="2"/>
        <v>0.19012828984277078</v>
      </c>
      <c r="X13" s="130">
        <f>IFERROR(_xlfn.XLOOKUP($A13,'Raw Data'!$G:$G,'Raw Data'!AI:AI),"")</f>
        <v>36980</v>
      </c>
      <c r="Y13" s="130">
        <f>IFERROR(_xlfn.XLOOKUP($A13,'Raw Data'!$G:$G,'Raw Data'!AJ:AJ),"")</f>
        <v>36699.99999999709</v>
      </c>
      <c r="Z13" s="130">
        <f>IFERROR(_xlfn.XLOOKUP($A13,'Raw Data'!$G:$G,'Raw Data'!AK:AK),"")</f>
        <v>99.999999999965894</v>
      </c>
      <c r="AA13" s="130">
        <f>IFERROR(_xlfn.XLOOKUP($A13,'Raw Data'!$G:$G,'Raw Data'!AL:AL),"")</f>
        <v>36599.999999997126</v>
      </c>
      <c r="AB13" s="130">
        <f>IFERROR(_xlfn.XLOOKUP($A13,'Raw Data'!$G:$G,'Raw Data'!H:H),"")</f>
        <v>8.0208999999999993</v>
      </c>
      <c r="AC13" s="76">
        <f>IFERROR(_xlfn.XLOOKUP($D13,'Modelling New'!$D:$D,'Modelling New'!P:P),"")</f>
        <v>6.39</v>
      </c>
      <c r="AD13" s="130">
        <f>IFERROR(_xlfn.XLOOKUP($D13,'Modelling New'!$D:$D,'Modelling New'!$T:$T)*1000,"")</f>
        <v>34610.228394529106</v>
      </c>
      <c r="AE13" s="138">
        <f>IFERROR(_xlfn.XLOOKUP($D13,'Modelling New'!$D:$D,'Modelling New'!O:O),"")</f>
        <v>0.67527474134483101</v>
      </c>
      <c r="AF13" s="137">
        <f>IFERROR(_xlfn.XLOOKUP($D13,'Modelling New'!$D:$D,'Modelling New'!W:W),"")</f>
        <v>0.17979189988306124</v>
      </c>
      <c r="AG13" s="137">
        <f>IFERROR(_xlfn.XLOOKUP($D13,'Modelling New'!$D:$D,'Modelling New'!AE:AE),"")</f>
        <v>0.98040000000000005</v>
      </c>
      <c r="AH13" s="156">
        <f>IFERROR(_xlfn.XLOOKUP($D13,'Modelling New'!$D:$D,'Modelling New'!AF:AF),"")</f>
        <v>0.98</v>
      </c>
      <c r="AN13" s="134"/>
      <c r="AO13" s="137"/>
      <c r="AP13" s="137"/>
      <c r="AQ13" s="137"/>
      <c r="AR13" s="130">
        <f>'Basic Data'!$B$98/1000</f>
        <v>8.0208999999999993</v>
      </c>
    </row>
    <row r="14" spans="1:45" x14ac:dyDescent="0.3">
      <c r="A14" s="129">
        <f t="shared" si="3"/>
        <v>45757</v>
      </c>
      <c r="B14" s="130">
        <f>YEAR(Table13[[#This Row],[Date]])+IF(MONTH(Table13[[#This Row],[Date]])&gt;=4,1,0)</f>
        <v>2026</v>
      </c>
      <c r="C14" s="7">
        <f>YEAR(Table13[[#This Row],[Date]])</f>
        <v>2025</v>
      </c>
      <c r="D14" s="131">
        <f>Table13[[#This Row],[Date]]-DAY(Table13[[#This Row],[Date]])+1</f>
        <v>45748</v>
      </c>
      <c r="E14" s="7">
        <f t="shared" si="0"/>
        <v>30</v>
      </c>
      <c r="F14" s="132">
        <f>IFERROR(_xlfn.XLOOKUP($A14,'Raw Data'!$G:$G,'Raw Data'!$AM:$AM),"")</f>
        <v>11.799999999999999</v>
      </c>
      <c r="G14" s="133">
        <f>IFERROR(_xlfn.XLOOKUP($A14,'Raw Data'!$G:$G,'Raw Data'!$AB:$AB),"")</f>
        <v>0</v>
      </c>
      <c r="H14" s="133"/>
      <c r="I14" s="133">
        <f>IFERROR(_xlfn.XLOOKUP($A14,'Raw Data'!$G:$G,'Raw Data'!$AC:$AC),"")</f>
        <v>4.8499999999999996</v>
      </c>
      <c r="J14" s="133"/>
      <c r="K14" s="133">
        <f>IFERROR(_xlfn.XLOOKUP($A14,'Raw Data'!$G:$G,'Raw Data'!AD:AD),"")</f>
        <v>0</v>
      </c>
      <c r="L14" s="133">
        <f>IFERROR(_xlfn.XLOOKUP($A14,'Raw Data'!$G:$G,'Raw Data'!AE:AE),"")</f>
        <v>40.22</v>
      </c>
      <c r="M14" s="133">
        <f>IFERROR(_xlfn.XLOOKUP($A14,'Raw Data'!$G:$G,'Raw Data'!AF:AF),"")</f>
        <v>0</v>
      </c>
      <c r="N14" s="133">
        <f>IFERROR(_xlfn.XLOOKUP($A14,'Raw Data'!$G:$G,'Raw Data'!AG:AG),"")</f>
        <v>0</v>
      </c>
      <c r="O14" s="134">
        <f>IFERROR(1-SUMIF('Plant BD'!$H:$H,$A14,'Plant BD'!$AE:$AE)/($AA14+SUMIF('Plant BD'!$H:$H,$A14,'Plant BD'!$AE:$AE)),"")</f>
        <v>1</v>
      </c>
      <c r="P14" s="134"/>
      <c r="Q14" s="135"/>
      <c r="R14" s="134">
        <f>IFERROR(1-SUMIF('Grid BD'!$H:$H,$A14,'Grid BD'!$AD:$AD)/($AA14+SUMIF('Grid BD'!$H:$H,$A14,'Grid BD'!$AD:$AD)),"")</f>
        <v>0.97368808503109194</v>
      </c>
      <c r="T14" s="135"/>
      <c r="U14" s="136">
        <f t="shared" si="1"/>
        <v>0.83930216844575978</v>
      </c>
      <c r="V14" s="136"/>
      <c r="W14" s="137">
        <f t="shared" si="2"/>
        <v>0.16960897987341392</v>
      </c>
      <c r="X14" s="130">
        <f>IFERROR(_xlfn.XLOOKUP($A14,'Raw Data'!$G:$G,'Raw Data'!AI:AI),"")</f>
        <v>33025</v>
      </c>
      <c r="Y14" s="130">
        <f>IFERROR(_xlfn.XLOOKUP($A14,'Raw Data'!$G:$G,'Raw Data'!AJ:AJ),"")</f>
        <v>32750</v>
      </c>
      <c r="Z14" s="130">
        <f>IFERROR(_xlfn.XLOOKUP($A14,'Raw Data'!$G:$G,'Raw Data'!AK:AK),"")</f>
        <v>100.00000000002274</v>
      </c>
      <c r="AA14" s="130">
        <f>IFERROR(_xlfn.XLOOKUP($A14,'Raw Data'!$G:$G,'Raw Data'!AL:AL),"")</f>
        <v>32649.999999999978</v>
      </c>
      <c r="AB14" s="130">
        <f>IFERROR(_xlfn.XLOOKUP($A14,'Raw Data'!$G:$G,'Raw Data'!H:H),"")</f>
        <v>8.0208999999999993</v>
      </c>
      <c r="AC14" s="76">
        <f>IFERROR(_xlfn.XLOOKUP($D14,'Modelling New'!$D:$D,'Modelling New'!P:P),"")</f>
        <v>6.39</v>
      </c>
      <c r="AD14" s="130">
        <f>IFERROR(_xlfn.XLOOKUP($D14,'Modelling New'!$D:$D,'Modelling New'!$T:$T)*1000,"")</f>
        <v>34610.228394529106</v>
      </c>
      <c r="AE14" s="138">
        <f>IFERROR(_xlfn.XLOOKUP($D14,'Modelling New'!$D:$D,'Modelling New'!O:O),"")</f>
        <v>0.67527474134483101</v>
      </c>
      <c r="AF14" s="137">
        <f>IFERROR(_xlfn.XLOOKUP($D14,'Modelling New'!$D:$D,'Modelling New'!W:W),"")</f>
        <v>0.17979189988306124</v>
      </c>
      <c r="AG14" s="137">
        <f>IFERROR(_xlfn.XLOOKUP($D14,'Modelling New'!$D:$D,'Modelling New'!AE:AE),"")</f>
        <v>0.98040000000000005</v>
      </c>
      <c r="AH14" s="156">
        <f>IFERROR(_xlfn.XLOOKUP($D14,'Modelling New'!$D:$D,'Modelling New'!AF:AF),"")</f>
        <v>0.98</v>
      </c>
      <c r="AN14" s="134"/>
      <c r="AO14" s="137"/>
      <c r="AP14" s="137"/>
      <c r="AQ14" s="137"/>
      <c r="AR14" s="130">
        <f>'Basic Data'!$B$98/1000</f>
        <v>8.0208999999999993</v>
      </c>
    </row>
    <row r="15" spans="1:45" x14ac:dyDescent="0.3">
      <c r="A15" s="129">
        <f t="shared" si="3"/>
        <v>45758</v>
      </c>
      <c r="B15" s="130">
        <f>YEAR(Table13[[#This Row],[Date]])+IF(MONTH(Table13[[#This Row],[Date]])&gt;=4,1,0)</f>
        <v>2026</v>
      </c>
      <c r="C15" s="7">
        <f>YEAR(Table13[[#This Row],[Date]])</f>
        <v>2025</v>
      </c>
      <c r="D15" s="131">
        <f>Table13[[#This Row],[Date]]-DAY(Table13[[#This Row],[Date]])+1</f>
        <v>45748</v>
      </c>
      <c r="E15" s="7">
        <f t="shared" si="0"/>
        <v>30</v>
      </c>
      <c r="F15" s="132">
        <f>IFERROR(_xlfn.XLOOKUP($A15,'Raw Data'!$G:$G,'Raw Data'!$AM:$AM),"")</f>
        <v>12.466666666666669</v>
      </c>
      <c r="G15" s="133">
        <f>IFERROR(_xlfn.XLOOKUP($A15,'Raw Data'!$G:$G,'Raw Data'!$AB:$AB),"")</f>
        <v>0</v>
      </c>
      <c r="H15" s="133"/>
      <c r="I15" s="133">
        <f>IFERROR(_xlfn.XLOOKUP($A15,'Raw Data'!$G:$G,'Raw Data'!$AC:$AC),"")</f>
        <v>6.33</v>
      </c>
      <c r="J15" s="133"/>
      <c r="K15" s="133">
        <f>IFERROR(_xlfn.XLOOKUP($A15,'Raw Data'!$G:$G,'Raw Data'!AD:AD),"")</f>
        <v>0</v>
      </c>
      <c r="L15" s="133">
        <f>IFERROR(_xlfn.XLOOKUP($A15,'Raw Data'!$G:$G,'Raw Data'!AE:AE),"")</f>
        <v>41.85</v>
      </c>
      <c r="M15" s="133">
        <f>IFERROR(_xlfn.XLOOKUP($A15,'Raw Data'!$G:$G,'Raw Data'!AF:AF),"")</f>
        <v>0</v>
      </c>
      <c r="N15" s="133">
        <f>IFERROR(_xlfn.XLOOKUP($A15,'Raw Data'!$G:$G,'Raw Data'!AG:AG),"")</f>
        <v>0</v>
      </c>
      <c r="O15" s="134">
        <f>IFERROR(1-SUMIF('Plant BD'!$H:$H,$A15,'Plant BD'!$AE:$AE)/($AA15+SUMIF('Plant BD'!$H:$H,$A15,'Plant BD'!$AE:$AE)),"")</f>
        <v>0.96690123972020015</v>
      </c>
      <c r="P15" s="134"/>
      <c r="Q15" s="135"/>
      <c r="R15" s="134">
        <f>IFERROR(1-SUMIF('Grid BD'!$H:$H,$A15,'Grid BD'!$AD:$AD)/($AA15+SUMIF('Grid BD'!$H:$H,$A15,'Grid BD'!$AD:$AD)),"")</f>
        <v>1</v>
      </c>
      <c r="T15" s="135"/>
      <c r="U15" s="136">
        <f t="shared" si="1"/>
        <v>0.77404416034189194</v>
      </c>
      <c r="V15" s="136"/>
      <c r="W15" s="137">
        <f t="shared" si="2"/>
        <v>0.20415414729017398</v>
      </c>
      <c r="X15" s="130">
        <f>IFERROR(_xlfn.XLOOKUP($A15,'Raw Data'!$G:$G,'Raw Data'!AI:AI),"")</f>
        <v>39702.299999999996</v>
      </c>
      <c r="Y15" s="130">
        <f>IFERROR(_xlfn.XLOOKUP($A15,'Raw Data'!$G:$G,'Raw Data'!AJ:AJ),"")</f>
        <v>39399.999999994179</v>
      </c>
      <c r="Z15" s="130">
        <f>IFERROR(_xlfn.XLOOKUP($A15,'Raw Data'!$G:$G,'Raw Data'!AK:AK),"")</f>
        <v>100.00000000002274</v>
      </c>
      <c r="AA15" s="130">
        <f>IFERROR(_xlfn.XLOOKUP($A15,'Raw Data'!$G:$G,'Raw Data'!AL:AL),"")</f>
        <v>39299.999999994157</v>
      </c>
      <c r="AB15" s="130">
        <f>IFERROR(_xlfn.XLOOKUP($A15,'Raw Data'!$G:$G,'Raw Data'!H:H),"")</f>
        <v>8.0208999999999993</v>
      </c>
      <c r="AC15" s="76">
        <f>IFERROR(_xlfn.XLOOKUP($D15,'Modelling New'!$D:$D,'Modelling New'!P:P),"")</f>
        <v>6.39</v>
      </c>
      <c r="AD15" s="130">
        <f>IFERROR(_xlfn.XLOOKUP($D15,'Modelling New'!$D:$D,'Modelling New'!$T:$T)*1000,"")</f>
        <v>34610.228394529106</v>
      </c>
      <c r="AE15" s="138">
        <f>IFERROR(_xlfn.XLOOKUP($D15,'Modelling New'!$D:$D,'Modelling New'!O:O),"")</f>
        <v>0.67527474134483101</v>
      </c>
      <c r="AF15" s="137">
        <f>IFERROR(_xlfn.XLOOKUP($D15,'Modelling New'!$D:$D,'Modelling New'!W:W),"")</f>
        <v>0.17979189988306124</v>
      </c>
      <c r="AG15" s="137">
        <f>IFERROR(_xlfn.XLOOKUP($D15,'Modelling New'!$D:$D,'Modelling New'!AE:AE),"")</f>
        <v>0.98040000000000005</v>
      </c>
      <c r="AH15" s="156">
        <f>IFERROR(_xlfn.XLOOKUP($D15,'Modelling New'!$D:$D,'Modelling New'!AF:AF),"")</f>
        <v>0.98</v>
      </c>
      <c r="AN15" s="134"/>
      <c r="AO15" s="137"/>
      <c r="AP15" s="137"/>
      <c r="AQ15" s="137"/>
      <c r="AR15" s="130">
        <f>'Basic Data'!$B$98/1000</f>
        <v>8.0208999999999993</v>
      </c>
    </row>
    <row r="16" spans="1:45" x14ac:dyDescent="0.3">
      <c r="A16" s="129">
        <f t="shared" si="3"/>
        <v>45759</v>
      </c>
      <c r="B16" s="130">
        <f>YEAR(Table13[[#This Row],[Date]])+IF(MONTH(Table13[[#This Row],[Date]])&gt;=4,1,0)</f>
        <v>2026</v>
      </c>
      <c r="C16" s="7">
        <f>YEAR(Table13[[#This Row],[Date]])</f>
        <v>2025</v>
      </c>
      <c r="D16" s="131">
        <f>Table13[[#This Row],[Date]]-DAY(Table13[[#This Row],[Date]])+1</f>
        <v>45748</v>
      </c>
      <c r="E16" s="7">
        <f t="shared" si="0"/>
        <v>30</v>
      </c>
      <c r="F16" s="132">
        <f>IFERROR(_xlfn.XLOOKUP($A16,'Raw Data'!$G:$G,'Raw Data'!$AM:$AM),"")</f>
        <v>12.333333333333336</v>
      </c>
      <c r="G16" s="133">
        <f>IFERROR(_xlfn.XLOOKUP($A16,'Raw Data'!$G:$G,'Raw Data'!$AB:$AB),"")</f>
        <v>0</v>
      </c>
      <c r="H16" s="133"/>
      <c r="I16" s="133">
        <f>IFERROR(_xlfn.XLOOKUP($A16,'Raw Data'!$G:$G,'Raw Data'!$AC:$AC),"")</f>
        <v>6.54</v>
      </c>
      <c r="J16" s="133"/>
      <c r="K16" s="133">
        <f>IFERROR(_xlfn.XLOOKUP($A16,'Raw Data'!$G:$G,'Raw Data'!AD:AD),"")</f>
        <v>0</v>
      </c>
      <c r="L16" s="133">
        <f>IFERROR(_xlfn.XLOOKUP($A16,'Raw Data'!$G:$G,'Raw Data'!AE:AE),"")</f>
        <v>43.84</v>
      </c>
      <c r="M16" s="133">
        <f>IFERROR(_xlfn.XLOOKUP($A16,'Raw Data'!$G:$G,'Raw Data'!AF:AF),"")</f>
        <v>0</v>
      </c>
      <c r="N16" s="133">
        <f>IFERROR(_xlfn.XLOOKUP($A16,'Raw Data'!$G:$G,'Raw Data'!AG:AG),"")</f>
        <v>0</v>
      </c>
      <c r="O16" s="134">
        <f>IFERROR(1-SUMIF('Plant BD'!$H:$H,$A16,'Plant BD'!$AE:$AE)/($AA16+SUMIF('Plant BD'!$H:$H,$A16,'Plant BD'!$AE:$AE)),"")</f>
        <v>0.96517659727048144</v>
      </c>
      <c r="P16" s="134"/>
      <c r="Q16" s="135"/>
      <c r="R16" s="134">
        <f>IFERROR(1-SUMIF('Grid BD'!$H:$H,$A16,'Grid BD'!$AD:$AD)/($AA16+SUMIF('Grid BD'!$H:$H,$A16,'Grid BD'!$AD:$AD)),"")</f>
        <v>1</v>
      </c>
      <c r="T16" s="135"/>
      <c r="U16" s="136">
        <f t="shared" si="1"/>
        <v>0.73965785791364658</v>
      </c>
      <c r="V16" s="136"/>
      <c r="W16" s="137">
        <f t="shared" si="2"/>
        <v>0.20155676628146865</v>
      </c>
      <c r="X16" s="130">
        <f>IFERROR(_xlfn.XLOOKUP($A16,'Raw Data'!$G:$G,'Raw Data'!AI:AI),"")</f>
        <v>39165</v>
      </c>
      <c r="Y16" s="130">
        <f>IFERROR(_xlfn.XLOOKUP($A16,'Raw Data'!$G:$G,'Raw Data'!AJ:AJ),"")</f>
        <v>38900.000000008731</v>
      </c>
      <c r="Z16" s="130">
        <f>IFERROR(_xlfn.XLOOKUP($A16,'Raw Data'!$G:$G,'Raw Data'!AK:AK),"")</f>
        <v>99.999999999965894</v>
      </c>
      <c r="AA16" s="130">
        <f>IFERROR(_xlfn.XLOOKUP($A16,'Raw Data'!$G:$G,'Raw Data'!AL:AL),"")</f>
        <v>38800.000000008768</v>
      </c>
      <c r="AB16" s="130">
        <f>IFERROR(_xlfn.XLOOKUP($A16,'Raw Data'!$G:$G,'Raw Data'!H:H),"")</f>
        <v>8.0208999999999993</v>
      </c>
      <c r="AC16" s="76">
        <f>IFERROR(_xlfn.XLOOKUP($D16,'Modelling New'!$D:$D,'Modelling New'!P:P),"")</f>
        <v>6.39</v>
      </c>
      <c r="AD16" s="130">
        <f>IFERROR(_xlfn.XLOOKUP($D16,'Modelling New'!$D:$D,'Modelling New'!$T:$T)*1000,"")</f>
        <v>34610.228394529106</v>
      </c>
      <c r="AE16" s="138">
        <f>IFERROR(_xlfn.XLOOKUP($D16,'Modelling New'!$D:$D,'Modelling New'!O:O),"")</f>
        <v>0.67527474134483101</v>
      </c>
      <c r="AF16" s="137">
        <f>IFERROR(_xlfn.XLOOKUP($D16,'Modelling New'!$D:$D,'Modelling New'!W:W),"")</f>
        <v>0.17979189988306124</v>
      </c>
      <c r="AG16" s="137">
        <f>IFERROR(_xlfn.XLOOKUP($D16,'Modelling New'!$D:$D,'Modelling New'!AE:AE),"")</f>
        <v>0.98040000000000005</v>
      </c>
      <c r="AH16" s="156">
        <f>IFERROR(_xlfn.XLOOKUP($D16,'Modelling New'!$D:$D,'Modelling New'!AF:AF),"")</f>
        <v>0.98</v>
      </c>
      <c r="AN16" s="134"/>
      <c r="AO16" s="137"/>
      <c r="AP16" s="137"/>
      <c r="AQ16" s="137"/>
      <c r="AR16" s="130">
        <f>'Basic Data'!$B$98/1000</f>
        <v>8.0208999999999993</v>
      </c>
    </row>
    <row r="17" spans="1:44" x14ac:dyDescent="0.3">
      <c r="A17" s="129">
        <f t="shared" si="3"/>
        <v>45760</v>
      </c>
      <c r="B17" s="130">
        <f>YEAR(Table13[[#This Row],[Date]])+IF(MONTH(Table13[[#This Row],[Date]])&gt;=4,1,0)</f>
        <v>2026</v>
      </c>
      <c r="C17" s="7">
        <f>YEAR(Table13[[#This Row],[Date]])</f>
        <v>2025</v>
      </c>
      <c r="D17" s="131">
        <f>Table13[[#This Row],[Date]]-DAY(Table13[[#This Row],[Date]])+1</f>
        <v>45748</v>
      </c>
      <c r="E17" s="7">
        <f t="shared" si="0"/>
        <v>30</v>
      </c>
      <c r="F17" s="132">
        <f>IFERROR(_xlfn.XLOOKUP($A17,'Raw Data'!$G:$G,'Raw Data'!$AM:$AM),"")</f>
        <v>12.416666666666668</v>
      </c>
      <c r="G17" s="133">
        <f>IFERROR(_xlfn.XLOOKUP($A17,'Raw Data'!$G:$G,'Raw Data'!$AB:$AB),"")</f>
        <v>0</v>
      </c>
      <c r="H17" s="133"/>
      <c r="I17" s="133">
        <f>IFERROR(_xlfn.XLOOKUP($A17,'Raw Data'!$G:$G,'Raw Data'!$AC:$AC),"")</f>
        <v>6.35</v>
      </c>
      <c r="J17" s="133"/>
      <c r="K17" s="133">
        <f>IFERROR(_xlfn.XLOOKUP($A17,'Raw Data'!$G:$G,'Raw Data'!AD:AD),"")</f>
        <v>0</v>
      </c>
      <c r="L17" s="133">
        <f>IFERROR(_xlfn.XLOOKUP($A17,'Raw Data'!$G:$G,'Raw Data'!AE:AE),"")</f>
        <v>45.16</v>
      </c>
      <c r="M17" s="133">
        <f>IFERROR(_xlfn.XLOOKUP($A17,'Raw Data'!$G:$G,'Raw Data'!AF:AF),"")</f>
        <v>0</v>
      </c>
      <c r="N17" s="133">
        <f>IFERROR(_xlfn.XLOOKUP($A17,'Raw Data'!$G:$G,'Raw Data'!AG:AG),"")</f>
        <v>0</v>
      </c>
      <c r="O17" s="134">
        <f>IFERROR(1-SUMIF('Plant BD'!$H:$H,$A17,'Plant BD'!$AE:$AE)/($AA17+SUMIF('Plant BD'!$H:$H,$A17,'Plant BD'!$AE:$AE)),"")</f>
        <v>0.97868764000228869</v>
      </c>
      <c r="P17" s="134"/>
      <c r="Q17" s="135"/>
      <c r="R17" s="134">
        <f>IFERROR(1-SUMIF('Grid BD'!$H:$H,$A17,'Grid BD'!$AD:$AD)/($AA17+SUMIF('Grid BD'!$H:$H,$A17,'Grid BD'!$AD:$AD)),"")</f>
        <v>0.95170005702607319</v>
      </c>
      <c r="T17" s="135"/>
      <c r="U17" s="136">
        <f t="shared" si="1"/>
        <v>0.713686674664743</v>
      </c>
      <c r="V17" s="136"/>
      <c r="W17" s="137">
        <f t="shared" si="2"/>
        <v>0.18882959933837987</v>
      </c>
      <c r="X17" s="130">
        <f>IFERROR(_xlfn.XLOOKUP($A17,'Raw Data'!$G:$G,'Raw Data'!AI:AI),"")</f>
        <v>36720.399999999994</v>
      </c>
      <c r="Y17" s="130">
        <f>IFERROR(_xlfn.XLOOKUP($A17,'Raw Data'!$G:$G,'Raw Data'!AJ:AJ),"")</f>
        <v>36449.99999999709</v>
      </c>
      <c r="Z17" s="130">
        <f>IFERROR(_xlfn.XLOOKUP($A17,'Raw Data'!$G:$G,'Raw Data'!AK:AK),"")</f>
        <v>100.00000000002274</v>
      </c>
      <c r="AA17" s="130">
        <f>IFERROR(_xlfn.XLOOKUP($A17,'Raw Data'!$G:$G,'Raw Data'!AL:AL),"")</f>
        <v>36349.999999997068</v>
      </c>
      <c r="AB17" s="130">
        <f>IFERROR(_xlfn.XLOOKUP($A17,'Raw Data'!$G:$G,'Raw Data'!H:H),"")</f>
        <v>8.0208999999999993</v>
      </c>
      <c r="AC17" s="76">
        <f>IFERROR(_xlfn.XLOOKUP($D17,'Modelling New'!$D:$D,'Modelling New'!P:P),"")</f>
        <v>6.39</v>
      </c>
      <c r="AD17" s="130">
        <f>IFERROR(_xlfn.XLOOKUP($D17,'Modelling New'!$D:$D,'Modelling New'!$T:$T)*1000,"")</f>
        <v>34610.228394529106</v>
      </c>
      <c r="AE17" s="138">
        <f>IFERROR(_xlfn.XLOOKUP($D17,'Modelling New'!$D:$D,'Modelling New'!O:O),"")</f>
        <v>0.67527474134483101</v>
      </c>
      <c r="AF17" s="137">
        <f>IFERROR(_xlfn.XLOOKUP($D17,'Modelling New'!$D:$D,'Modelling New'!W:W),"")</f>
        <v>0.17979189988306124</v>
      </c>
      <c r="AG17" s="137">
        <f>IFERROR(_xlfn.XLOOKUP($D17,'Modelling New'!$D:$D,'Modelling New'!AE:AE),"")</f>
        <v>0.98040000000000005</v>
      </c>
      <c r="AH17" s="156">
        <f>IFERROR(_xlfn.XLOOKUP($D17,'Modelling New'!$D:$D,'Modelling New'!AF:AF),"")</f>
        <v>0.98</v>
      </c>
      <c r="AN17" s="134"/>
      <c r="AO17" s="137"/>
      <c r="AP17" s="137"/>
      <c r="AQ17" s="137"/>
      <c r="AR17" s="130">
        <f>'Basic Data'!$B$98/1000</f>
        <v>8.0208999999999993</v>
      </c>
    </row>
    <row r="18" spans="1:44" x14ac:dyDescent="0.3">
      <c r="A18" s="129">
        <f t="shared" si="3"/>
        <v>45761</v>
      </c>
      <c r="B18" s="130">
        <f>YEAR(Table13[[#This Row],[Date]])+IF(MONTH(Table13[[#This Row],[Date]])&gt;=4,1,0)</f>
        <v>2026</v>
      </c>
      <c r="C18" s="7">
        <f>YEAR(Table13[[#This Row],[Date]])</f>
        <v>2025</v>
      </c>
      <c r="D18" s="131">
        <f>Table13[[#This Row],[Date]]-DAY(Table13[[#This Row],[Date]])+1</f>
        <v>45748</v>
      </c>
      <c r="E18" s="7">
        <f t="shared" si="0"/>
        <v>30</v>
      </c>
      <c r="F18" s="132">
        <f>IFERROR(_xlfn.XLOOKUP($A18,'Raw Data'!$G:$G,'Raw Data'!$AM:$AM),"")</f>
        <v>12.466666666666669</v>
      </c>
      <c r="G18" s="133">
        <f>IFERROR(_xlfn.XLOOKUP($A18,'Raw Data'!$G:$G,'Raw Data'!$AB:$AB),"")</f>
        <v>0</v>
      </c>
      <c r="H18" s="133"/>
      <c r="I18" s="133">
        <f>IFERROR(_xlfn.XLOOKUP($A18,'Raw Data'!$G:$G,'Raw Data'!$AC:$AC),"")</f>
        <v>6.09</v>
      </c>
      <c r="J18" s="133"/>
      <c r="K18" s="133">
        <f>IFERROR(_xlfn.XLOOKUP($A18,'Raw Data'!$G:$G,'Raw Data'!AD:AD),"")</f>
        <v>0</v>
      </c>
      <c r="L18" s="133">
        <f>IFERROR(_xlfn.XLOOKUP($A18,'Raw Data'!$G:$G,'Raw Data'!AE:AE),"")</f>
        <v>43.95</v>
      </c>
      <c r="M18" s="133">
        <f>IFERROR(_xlfn.XLOOKUP($A18,'Raw Data'!$G:$G,'Raw Data'!AF:AF),"")</f>
        <v>0</v>
      </c>
      <c r="N18" s="133">
        <f>IFERROR(_xlfn.XLOOKUP($A18,'Raw Data'!$G:$G,'Raw Data'!AG:AG),"")</f>
        <v>0</v>
      </c>
      <c r="O18" s="134">
        <f>IFERROR(1-SUMIF('Plant BD'!$H:$H,$A18,'Plant BD'!$AE:$AE)/($AA18+SUMIF('Plant BD'!$H:$H,$A18,'Plant BD'!$AE:$AE)),"")</f>
        <v>0.96036026374984751</v>
      </c>
      <c r="P18" s="134"/>
      <c r="Q18" s="135"/>
      <c r="R18" s="134">
        <f>IFERROR(1-SUMIF('Grid BD'!$H:$H,$A18,'Grid BD'!$AD:$AD)/($AA18+SUMIF('Grid BD'!$H:$H,$A18,'Grid BD'!$AD:$AD)),"")</f>
        <v>1</v>
      </c>
      <c r="T18" s="135"/>
      <c r="U18" s="136">
        <f t="shared" si="1"/>
        <v>0.79124158415286294</v>
      </c>
      <c r="V18" s="136"/>
      <c r="W18" s="137">
        <f t="shared" si="2"/>
        <v>0.20077755197878894</v>
      </c>
      <c r="X18" s="130">
        <f>IFERROR(_xlfn.XLOOKUP($A18,'Raw Data'!$G:$G,'Raw Data'!AI:AI),"")</f>
        <v>39032</v>
      </c>
      <c r="Y18" s="130">
        <f>IFERROR(_xlfn.XLOOKUP($A18,'Raw Data'!$G:$G,'Raw Data'!AJ:AJ),"")</f>
        <v>38750</v>
      </c>
      <c r="Z18" s="130">
        <f>IFERROR(_xlfn.XLOOKUP($A18,'Raw Data'!$G:$G,'Raw Data'!AK:AK),"")</f>
        <v>99.999999999965894</v>
      </c>
      <c r="AA18" s="130">
        <f>IFERROR(_xlfn.XLOOKUP($A18,'Raw Data'!$G:$G,'Raw Data'!AL:AL),"")</f>
        <v>38650.000000000036</v>
      </c>
      <c r="AB18" s="130">
        <f>IFERROR(_xlfn.XLOOKUP($A18,'Raw Data'!$G:$G,'Raw Data'!H:H),"")</f>
        <v>8.0208999999999993</v>
      </c>
      <c r="AC18" s="76">
        <f>IFERROR(_xlfn.XLOOKUP($D18,'Modelling New'!$D:$D,'Modelling New'!P:P),"")</f>
        <v>6.39</v>
      </c>
      <c r="AD18" s="130">
        <f>IFERROR(_xlfn.XLOOKUP($D18,'Modelling New'!$D:$D,'Modelling New'!$T:$T)*1000,"")</f>
        <v>34610.228394529106</v>
      </c>
      <c r="AE18" s="138">
        <f>IFERROR(_xlfn.XLOOKUP($D18,'Modelling New'!$D:$D,'Modelling New'!O:O),"")</f>
        <v>0.67527474134483101</v>
      </c>
      <c r="AF18" s="137">
        <f>IFERROR(_xlfn.XLOOKUP($D18,'Modelling New'!$D:$D,'Modelling New'!W:W),"")</f>
        <v>0.17979189988306124</v>
      </c>
      <c r="AG18" s="137">
        <f>IFERROR(_xlfn.XLOOKUP($D18,'Modelling New'!$D:$D,'Modelling New'!AE:AE),"")</f>
        <v>0.98040000000000005</v>
      </c>
      <c r="AH18" s="156">
        <f>IFERROR(_xlfn.XLOOKUP($D18,'Modelling New'!$D:$D,'Modelling New'!AF:AF),"")</f>
        <v>0.98</v>
      </c>
      <c r="AN18" s="134"/>
      <c r="AO18" s="137"/>
      <c r="AP18" s="137"/>
      <c r="AQ18" s="137"/>
      <c r="AR18" s="130">
        <f>'Basic Data'!$B$98/1000</f>
        <v>8.0208999999999993</v>
      </c>
    </row>
    <row r="19" spans="1:44" x14ac:dyDescent="0.3">
      <c r="A19" s="129">
        <f t="shared" si="3"/>
        <v>45762</v>
      </c>
      <c r="B19" s="130">
        <f>YEAR(Table13[[#This Row],[Date]])+IF(MONTH(Table13[[#This Row],[Date]])&gt;=4,1,0)</f>
        <v>2026</v>
      </c>
      <c r="C19" s="7">
        <f>YEAR(Table13[[#This Row],[Date]])</f>
        <v>2025</v>
      </c>
      <c r="D19" s="131">
        <f>Table13[[#This Row],[Date]]-DAY(Table13[[#This Row],[Date]])+1</f>
        <v>45748</v>
      </c>
      <c r="E19" s="7">
        <f t="shared" si="0"/>
        <v>30</v>
      </c>
      <c r="F19" s="132">
        <f>IFERROR(_xlfn.XLOOKUP($A19,'Raw Data'!$G:$G,'Raw Data'!$AM:$AM),"")</f>
        <v>12.600000000000001</v>
      </c>
      <c r="G19" s="133">
        <f>IFERROR(_xlfn.XLOOKUP($A19,'Raw Data'!$G:$G,'Raw Data'!$AB:$AB),"")</f>
        <v>0</v>
      </c>
      <c r="H19" s="133"/>
      <c r="I19" s="133">
        <f>IFERROR(_xlfn.XLOOKUP($A19,'Raw Data'!$G:$G,'Raw Data'!$AC:$AC),"")</f>
        <v>5.28</v>
      </c>
      <c r="J19" s="133"/>
      <c r="K19" s="133">
        <f>IFERROR(_xlfn.XLOOKUP($A19,'Raw Data'!$G:$G,'Raw Data'!AD:AD),"")</f>
        <v>0</v>
      </c>
      <c r="L19" s="133">
        <f>IFERROR(_xlfn.XLOOKUP($A19,'Raw Data'!$G:$G,'Raw Data'!AE:AE),"")</f>
        <v>42.86</v>
      </c>
      <c r="M19" s="133">
        <f>IFERROR(_xlfn.XLOOKUP($A19,'Raw Data'!$G:$G,'Raw Data'!AF:AF),"")</f>
        <v>0</v>
      </c>
      <c r="N19" s="133">
        <f>IFERROR(_xlfn.XLOOKUP($A19,'Raw Data'!$G:$G,'Raw Data'!AG:AG),"")</f>
        <v>0</v>
      </c>
      <c r="O19" s="134">
        <f>IFERROR(1-SUMIF('Plant BD'!$H:$H,$A19,'Plant BD'!$AE:$AE)/($AA19+SUMIF('Plant BD'!$H:$H,$A19,'Plant BD'!$AE:$AE)),"")</f>
        <v>0.98809050890719852</v>
      </c>
      <c r="P19" s="134"/>
      <c r="Q19" s="135"/>
      <c r="R19" s="134">
        <f>IFERROR(1-SUMIF('Grid BD'!$H:$H,$A19,'Grid BD'!$AD:$AD)/($AA19+SUMIF('Grid BD'!$H:$H,$A19,'Grid BD'!$AD:$AD)),"")</f>
        <v>0.99295188691174296</v>
      </c>
      <c r="T19" s="135"/>
      <c r="U19" s="136">
        <f t="shared" si="1"/>
        <v>0.80046560179712278</v>
      </c>
      <c r="V19" s="136"/>
      <c r="W19" s="137">
        <f t="shared" si="2"/>
        <v>0.17610243239536699</v>
      </c>
      <c r="X19" s="130">
        <f>IFERROR(_xlfn.XLOOKUP($A19,'Raw Data'!$G:$G,'Raw Data'!AI:AI),"")</f>
        <v>34340</v>
      </c>
      <c r="Y19" s="130">
        <f>IFERROR(_xlfn.XLOOKUP($A19,'Raw Data'!$G:$G,'Raw Data'!AJ:AJ),"")</f>
        <v>34000</v>
      </c>
      <c r="Z19" s="130">
        <f>IFERROR(_xlfn.XLOOKUP($A19,'Raw Data'!$G:$G,'Raw Data'!AK:AK),"")</f>
        <v>100.00000000002274</v>
      </c>
      <c r="AA19" s="130">
        <f>IFERROR(_xlfn.XLOOKUP($A19,'Raw Data'!$G:$G,'Raw Data'!AL:AL),"")</f>
        <v>33899.999999999978</v>
      </c>
      <c r="AB19" s="130">
        <f>IFERROR(_xlfn.XLOOKUP($A19,'Raw Data'!$G:$G,'Raw Data'!H:H),"")</f>
        <v>8.0208999999999993</v>
      </c>
      <c r="AC19" s="76">
        <f>IFERROR(_xlfn.XLOOKUP($D19,'Modelling New'!$D:$D,'Modelling New'!P:P),"")</f>
        <v>6.39</v>
      </c>
      <c r="AD19" s="130">
        <f>IFERROR(_xlfn.XLOOKUP($D19,'Modelling New'!$D:$D,'Modelling New'!$T:$T)*1000,"")</f>
        <v>34610.228394529106</v>
      </c>
      <c r="AE19" s="138">
        <f>IFERROR(_xlfn.XLOOKUP($D19,'Modelling New'!$D:$D,'Modelling New'!O:O),"")</f>
        <v>0.67527474134483101</v>
      </c>
      <c r="AF19" s="137">
        <f>IFERROR(_xlfn.XLOOKUP($D19,'Modelling New'!$D:$D,'Modelling New'!W:W),"")</f>
        <v>0.17979189988306124</v>
      </c>
      <c r="AG19" s="137">
        <f>IFERROR(_xlfn.XLOOKUP($D19,'Modelling New'!$D:$D,'Modelling New'!AE:AE),"")</f>
        <v>0.98040000000000005</v>
      </c>
      <c r="AH19" s="156">
        <f>IFERROR(_xlfn.XLOOKUP($D19,'Modelling New'!$D:$D,'Modelling New'!AF:AF),"")</f>
        <v>0.98</v>
      </c>
      <c r="AN19" s="134"/>
      <c r="AO19" s="137"/>
      <c r="AP19" s="137"/>
      <c r="AQ19" s="137"/>
      <c r="AR19" s="130">
        <f>'Basic Data'!$B$98/1000</f>
        <v>8.0208999999999993</v>
      </c>
    </row>
    <row r="20" spans="1:44" x14ac:dyDescent="0.3">
      <c r="A20" s="129">
        <f t="shared" si="3"/>
        <v>45763</v>
      </c>
      <c r="B20" s="130">
        <f>YEAR(Table13[[#This Row],[Date]])+IF(MONTH(Table13[[#This Row],[Date]])&gt;=4,1,0)</f>
        <v>2026</v>
      </c>
      <c r="C20" s="7">
        <f>YEAR(Table13[[#This Row],[Date]])</f>
        <v>2025</v>
      </c>
      <c r="D20" s="131">
        <f>Table13[[#This Row],[Date]]-DAY(Table13[[#This Row],[Date]])+1</f>
        <v>45748</v>
      </c>
      <c r="E20" s="7">
        <f t="shared" si="0"/>
        <v>30</v>
      </c>
      <c r="F20" s="132">
        <f>IFERROR(_xlfn.XLOOKUP($A20,'Raw Data'!$G:$G,'Raw Data'!$AM:$AM),"")</f>
        <v>12.5</v>
      </c>
      <c r="G20" s="133">
        <f>IFERROR(_xlfn.XLOOKUP($A20,'Raw Data'!$G:$G,'Raw Data'!$AB:$AB),"")</f>
        <v>0</v>
      </c>
      <c r="H20" s="133"/>
      <c r="I20" s="133">
        <f>IFERROR(_xlfn.XLOOKUP($A20,'Raw Data'!$G:$G,'Raw Data'!$AC:$AC),"")</f>
        <v>5.92</v>
      </c>
      <c r="J20" s="133"/>
      <c r="K20" s="133">
        <f>IFERROR(_xlfn.XLOOKUP($A20,'Raw Data'!$G:$G,'Raw Data'!AD:AD),"")</f>
        <v>0</v>
      </c>
      <c r="L20" s="133">
        <f>IFERROR(_xlfn.XLOOKUP($A20,'Raw Data'!$G:$G,'Raw Data'!AE:AE),"")</f>
        <v>42.54</v>
      </c>
      <c r="M20" s="133">
        <f>IFERROR(_xlfn.XLOOKUP($A20,'Raw Data'!$G:$G,'Raw Data'!AF:AF),"")</f>
        <v>0</v>
      </c>
      <c r="N20" s="133">
        <f>IFERROR(_xlfn.XLOOKUP($A20,'Raw Data'!$G:$G,'Raw Data'!AG:AG),"")</f>
        <v>0</v>
      </c>
      <c r="O20" s="134">
        <f>IFERROR(1-SUMIF('Plant BD'!$H:$H,$A20,'Plant BD'!$AE:$AE)/($AA20+SUMIF('Plant BD'!$H:$H,$A20,'Plant BD'!$AE:$AE)),"")</f>
        <v>0.98361888655629426</v>
      </c>
      <c r="P20" s="134"/>
      <c r="Q20" s="135"/>
      <c r="R20" s="134">
        <f>IFERROR(1-SUMIF('Grid BD'!$H:$H,$A20,'Grid BD'!$AD:$AD)/($AA20+SUMIF('Grid BD'!$H:$H,$A20,'Grid BD'!$AD:$AD)),"")</f>
        <v>0.93160906285719181</v>
      </c>
      <c r="T20" s="135"/>
      <c r="U20" s="136">
        <f t="shared" si="1"/>
        <v>0.6212654575059019</v>
      </c>
      <c r="V20" s="136"/>
      <c r="W20" s="137">
        <f t="shared" si="2"/>
        <v>0.15324547951812242</v>
      </c>
      <c r="X20" s="130">
        <f>IFERROR(_xlfn.XLOOKUP($A20,'Raw Data'!$G:$G,'Raw Data'!AI:AI),"")</f>
        <v>29859.4</v>
      </c>
      <c r="Y20" s="130">
        <f>IFERROR(_xlfn.XLOOKUP($A20,'Raw Data'!$G:$G,'Raw Data'!AJ:AJ),"")</f>
        <v>29600.000000005821</v>
      </c>
      <c r="Z20" s="130">
        <f>IFERROR(_xlfn.XLOOKUP($A20,'Raw Data'!$G:$G,'Raw Data'!AK:AK),"")</f>
        <v>100.00000000002274</v>
      </c>
      <c r="AA20" s="130">
        <f>IFERROR(_xlfn.XLOOKUP($A20,'Raw Data'!$G:$G,'Raw Data'!AL:AL),"")</f>
        <v>29500.000000005799</v>
      </c>
      <c r="AB20" s="130">
        <f>IFERROR(_xlfn.XLOOKUP($A20,'Raw Data'!$G:$G,'Raw Data'!H:H),"")</f>
        <v>8.0208999999999993</v>
      </c>
      <c r="AC20" s="76">
        <f>IFERROR(_xlfn.XLOOKUP($D20,'Modelling New'!$D:$D,'Modelling New'!P:P),"")</f>
        <v>6.39</v>
      </c>
      <c r="AD20" s="130">
        <f>IFERROR(_xlfn.XLOOKUP($D20,'Modelling New'!$D:$D,'Modelling New'!$T:$T)*1000,"")</f>
        <v>34610.228394529106</v>
      </c>
      <c r="AE20" s="138">
        <f>IFERROR(_xlfn.XLOOKUP($D20,'Modelling New'!$D:$D,'Modelling New'!O:O),"")</f>
        <v>0.67527474134483101</v>
      </c>
      <c r="AF20" s="137">
        <f>IFERROR(_xlfn.XLOOKUP($D20,'Modelling New'!$D:$D,'Modelling New'!W:W),"")</f>
        <v>0.17979189988306124</v>
      </c>
      <c r="AG20" s="137">
        <f>IFERROR(_xlfn.XLOOKUP($D20,'Modelling New'!$D:$D,'Modelling New'!AE:AE),"")</f>
        <v>0.98040000000000005</v>
      </c>
      <c r="AH20" s="156">
        <f>IFERROR(_xlfn.XLOOKUP($D20,'Modelling New'!$D:$D,'Modelling New'!AF:AF),"")</f>
        <v>0.98</v>
      </c>
      <c r="AN20" s="134"/>
      <c r="AO20" s="137"/>
      <c r="AP20" s="137"/>
      <c r="AQ20" s="137"/>
      <c r="AR20" s="130">
        <f>'Basic Data'!$B$98/1000</f>
        <v>8.0208999999999993</v>
      </c>
    </row>
    <row r="21" spans="1:44" x14ac:dyDescent="0.3">
      <c r="A21" s="129">
        <f t="shared" si="3"/>
        <v>45764</v>
      </c>
      <c r="B21" s="130">
        <f>YEAR(Table13[[#This Row],[Date]])+IF(MONTH(Table13[[#This Row],[Date]])&gt;=4,1,0)</f>
        <v>2026</v>
      </c>
      <c r="C21" s="7">
        <f>YEAR(Table13[[#This Row],[Date]])</f>
        <v>2025</v>
      </c>
      <c r="D21" s="131">
        <f>Table13[[#This Row],[Date]]-DAY(Table13[[#This Row],[Date]])+1</f>
        <v>45748</v>
      </c>
      <c r="E21" s="7">
        <f t="shared" si="0"/>
        <v>30</v>
      </c>
      <c r="F21" s="132">
        <f>IFERROR(_xlfn.XLOOKUP($A21,'Raw Data'!$G:$G,'Raw Data'!$AM:$AM),"")</f>
        <v>12.5</v>
      </c>
      <c r="G21" s="133">
        <f>IFERROR(_xlfn.XLOOKUP($A21,'Raw Data'!$G:$G,'Raw Data'!$AB:$AB),"")</f>
        <v>0</v>
      </c>
      <c r="H21" s="133"/>
      <c r="I21" s="133">
        <f>IFERROR(_xlfn.XLOOKUP($A21,'Raw Data'!$G:$G,'Raw Data'!$AC:$AC),"")</f>
        <v>5.66</v>
      </c>
      <c r="J21" s="133"/>
      <c r="K21" s="133">
        <f>IFERROR(_xlfn.XLOOKUP($A21,'Raw Data'!$G:$G,'Raw Data'!AD:AD),"")</f>
        <v>0</v>
      </c>
      <c r="L21" s="133">
        <f>IFERROR(_xlfn.XLOOKUP($A21,'Raw Data'!$G:$G,'Raw Data'!AE:AE),"")</f>
        <v>43.35</v>
      </c>
      <c r="M21" s="133">
        <f>IFERROR(_xlfn.XLOOKUP($A21,'Raw Data'!$G:$G,'Raw Data'!AF:AF),"")</f>
        <v>0</v>
      </c>
      <c r="N21" s="133">
        <f>IFERROR(_xlfn.XLOOKUP($A21,'Raw Data'!$G:$G,'Raw Data'!AG:AG),"")</f>
        <v>0</v>
      </c>
      <c r="O21" s="134">
        <f>IFERROR(1-SUMIF('Plant BD'!$H:$H,$A21,'Plant BD'!$AE:$AE)/($AA21+SUMIF('Plant BD'!$H:$H,$A21,'Plant BD'!$AE:$AE)),"")</f>
        <v>1</v>
      </c>
      <c r="P21" s="134"/>
      <c r="Q21" s="135"/>
      <c r="R21" s="134">
        <f>IFERROR(1-SUMIF('Grid BD'!$H:$H,$A21,'Grid BD'!$AD:$AD)/($AA21+SUMIF('Grid BD'!$H:$H,$A21,'Grid BD'!$AD:$AD)),"")</f>
        <v>1</v>
      </c>
      <c r="T21" s="135"/>
      <c r="U21" s="136">
        <f t="shared" si="1"/>
        <v>0.78747452492358649</v>
      </c>
      <c r="V21" s="136"/>
      <c r="W21" s="137">
        <f t="shared" si="2"/>
        <v>0.18571274212781247</v>
      </c>
      <c r="X21" s="130">
        <f>IFERROR(_xlfn.XLOOKUP($A21,'Raw Data'!$G:$G,'Raw Data'!AI:AI),"")</f>
        <v>36154.400000000001</v>
      </c>
      <c r="Y21" s="130">
        <f>IFERROR(_xlfn.XLOOKUP($A21,'Raw Data'!$G:$G,'Raw Data'!AJ:AJ),"")</f>
        <v>35849.999999991269</v>
      </c>
      <c r="Z21" s="130">
        <f>IFERROR(_xlfn.XLOOKUP($A21,'Raw Data'!$G:$G,'Raw Data'!AK:AK),"")</f>
        <v>99.999999999965894</v>
      </c>
      <c r="AA21" s="130">
        <f>IFERROR(_xlfn.XLOOKUP($A21,'Raw Data'!$G:$G,'Raw Data'!AL:AL),"")</f>
        <v>35749.999999991305</v>
      </c>
      <c r="AB21" s="130">
        <f>IFERROR(_xlfn.XLOOKUP($A21,'Raw Data'!$G:$G,'Raw Data'!H:H),"")</f>
        <v>8.0208999999999993</v>
      </c>
      <c r="AC21" s="76">
        <f>IFERROR(_xlfn.XLOOKUP($D21,'Modelling New'!$D:$D,'Modelling New'!P:P),"")</f>
        <v>6.39</v>
      </c>
      <c r="AD21" s="130">
        <f>IFERROR(_xlfn.XLOOKUP($D21,'Modelling New'!$D:$D,'Modelling New'!$T:$T)*1000,"")</f>
        <v>34610.228394529106</v>
      </c>
      <c r="AE21" s="138">
        <f>IFERROR(_xlfn.XLOOKUP($D21,'Modelling New'!$D:$D,'Modelling New'!O:O),"")</f>
        <v>0.67527474134483101</v>
      </c>
      <c r="AF21" s="137">
        <f>IFERROR(_xlfn.XLOOKUP($D21,'Modelling New'!$D:$D,'Modelling New'!W:W),"")</f>
        <v>0.17979189988306124</v>
      </c>
      <c r="AG21" s="137">
        <f>IFERROR(_xlfn.XLOOKUP($D21,'Modelling New'!$D:$D,'Modelling New'!AE:AE),"")</f>
        <v>0.98040000000000005</v>
      </c>
      <c r="AH21" s="156">
        <f>IFERROR(_xlfn.XLOOKUP($D21,'Modelling New'!$D:$D,'Modelling New'!AF:AF),"")</f>
        <v>0.98</v>
      </c>
      <c r="AN21" s="134"/>
      <c r="AO21" s="137"/>
      <c r="AP21" s="137"/>
      <c r="AQ21" s="137"/>
      <c r="AR21" s="130">
        <f>'Basic Data'!$B$98/1000</f>
        <v>8.0208999999999993</v>
      </c>
    </row>
    <row r="22" spans="1:44" x14ac:dyDescent="0.3">
      <c r="A22" s="129">
        <f t="shared" si="3"/>
        <v>45765</v>
      </c>
      <c r="B22" s="130">
        <f>YEAR(Table13[[#This Row],[Date]])+IF(MONTH(Table13[[#This Row],[Date]])&gt;=4,1,0)</f>
        <v>2026</v>
      </c>
      <c r="C22" s="7">
        <f>YEAR(Table13[[#This Row],[Date]])</f>
        <v>2025</v>
      </c>
      <c r="D22" s="131">
        <f>Table13[[#This Row],[Date]]-DAY(Table13[[#This Row],[Date]])+1</f>
        <v>45748</v>
      </c>
      <c r="E22" s="7">
        <f t="shared" si="0"/>
        <v>30</v>
      </c>
      <c r="F22" s="132">
        <f>IFERROR(_xlfn.XLOOKUP($A22,'Raw Data'!$G:$G,'Raw Data'!$AM:$AM),"")</f>
        <v>12.516666666666667</v>
      </c>
      <c r="G22" s="133">
        <f>IFERROR(_xlfn.XLOOKUP($A22,'Raw Data'!$G:$G,'Raw Data'!$AB:$AB),"")</f>
        <v>0</v>
      </c>
      <c r="H22" s="133"/>
      <c r="I22" s="133">
        <f>IFERROR(_xlfn.XLOOKUP($A22,'Raw Data'!$G:$G,'Raw Data'!$AC:$AC),"")</f>
        <v>5.38</v>
      </c>
      <c r="J22" s="133"/>
      <c r="K22" s="133">
        <f>IFERROR(_xlfn.XLOOKUP($A22,'Raw Data'!$G:$G,'Raw Data'!AD:AD),"")</f>
        <v>0</v>
      </c>
      <c r="L22" s="133">
        <f>IFERROR(_xlfn.XLOOKUP($A22,'Raw Data'!$G:$G,'Raw Data'!AE:AE),"")</f>
        <v>43.02</v>
      </c>
      <c r="M22" s="133">
        <f>IFERROR(_xlfn.XLOOKUP($A22,'Raw Data'!$G:$G,'Raw Data'!AF:AF),"")</f>
        <v>0</v>
      </c>
      <c r="N22" s="133">
        <f>IFERROR(_xlfn.XLOOKUP($A22,'Raw Data'!$G:$G,'Raw Data'!AG:AG),"")</f>
        <v>0</v>
      </c>
      <c r="O22" s="134">
        <f>IFERROR(1-SUMIF('Plant BD'!$H:$H,$A22,'Plant BD'!$AE:$AE)/($AA22+SUMIF('Plant BD'!$H:$H,$A22,'Plant BD'!$AE:$AE)),"")</f>
        <v>1</v>
      </c>
      <c r="P22" s="134"/>
      <c r="Q22" s="135"/>
      <c r="R22" s="134">
        <f>IFERROR(1-SUMIF('Grid BD'!$H:$H,$A22,'Grid BD'!$AD:$AD)/($AA22+SUMIF('Grid BD'!$H:$H,$A22,'Grid BD'!$AD:$AD)),"")</f>
        <v>1</v>
      </c>
      <c r="T22" s="135"/>
      <c r="U22" s="136">
        <f t="shared" si="1"/>
        <v>0.62337144210749373</v>
      </c>
      <c r="V22" s="136"/>
      <c r="W22" s="137">
        <f t="shared" si="2"/>
        <v>0.13973909827242983</v>
      </c>
      <c r="X22" s="130">
        <f>IFERROR(_xlfn.XLOOKUP($A22,'Raw Data'!$G:$G,'Raw Data'!AI:AI),"")</f>
        <v>27239.5</v>
      </c>
      <c r="Y22" s="130">
        <f>IFERROR(_xlfn.XLOOKUP($A22,'Raw Data'!$G:$G,'Raw Data'!AJ:AJ),"")</f>
        <v>27000</v>
      </c>
      <c r="Z22" s="130">
        <f>IFERROR(_xlfn.XLOOKUP($A22,'Raw Data'!$G:$G,'Raw Data'!AK:AK),"")</f>
        <v>100.00000000002274</v>
      </c>
      <c r="AA22" s="130">
        <f>IFERROR(_xlfn.XLOOKUP($A22,'Raw Data'!$G:$G,'Raw Data'!AL:AL),"")</f>
        <v>26899.999999999978</v>
      </c>
      <c r="AB22" s="130">
        <f>IFERROR(_xlfn.XLOOKUP($A22,'Raw Data'!$G:$G,'Raw Data'!H:H),"")</f>
        <v>8.0208999999999993</v>
      </c>
      <c r="AC22" s="76">
        <f>IFERROR(_xlfn.XLOOKUP($D22,'Modelling New'!$D:$D,'Modelling New'!P:P),"")</f>
        <v>6.39</v>
      </c>
      <c r="AD22" s="130">
        <f>IFERROR(_xlfn.XLOOKUP($D22,'Modelling New'!$D:$D,'Modelling New'!$T:$T)*1000,"")</f>
        <v>34610.228394529106</v>
      </c>
      <c r="AE22" s="138">
        <f>IFERROR(_xlfn.XLOOKUP($D22,'Modelling New'!$D:$D,'Modelling New'!O:O),"")</f>
        <v>0.67527474134483101</v>
      </c>
      <c r="AF22" s="137">
        <f>IFERROR(_xlfn.XLOOKUP($D22,'Modelling New'!$D:$D,'Modelling New'!W:W),"")</f>
        <v>0.17979189988306124</v>
      </c>
      <c r="AG22" s="137">
        <f>IFERROR(_xlfn.XLOOKUP($D22,'Modelling New'!$D:$D,'Modelling New'!AE:AE),"")</f>
        <v>0.98040000000000005</v>
      </c>
      <c r="AH22" s="156">
        <f>IFERROR(_xlfn.XLOOKUP($D22,'Modelling New'!$D:$D,'Modelling New'!AF:AF),"")</f>
        <v>0.98</v>
      </c>
      <c r="AN22" s="134"/>
      <c r="AO22" s="137"/>
      <c r="AP22" s="137"/>
      <c r="AQ22" s="137"/>
      <c r="AR22" s="130">
        <f>'Basic Data'!$B$98/1000</f>
        <v>8.0208999999999993</v>
      </c>
    </row>
    <row r="23" spans="1:44" x14ac:dyDescent="0.3">
      <c r="A23" s="129">
        <f t="shared" si="3"/>
        <v>45766</v>
      </c>
      <c r="B23" s="130">
        <f>YEAR(Table13[[#This Row],[Date]])+IF(MONTH(Table13[[#This Row],[Date]])&gt;=4,1,0)</f>
        <v>2026</v>
      </c>
      <c r="C23" s="7">
        <f>YEAR(Table13[[#This Row],[Date]])</f>
        <v>2025</v>
      </c>
      <c r="D23" s="131">
        <f>Table13[[#This Row],[Date]]-DAY(Table13[[#This Row],[Date]])+1</f>
        <v>45748</v>
      </c>
      <c r="E23" s="7">
        <f t="shared" si="0"/>
        <v>30</v>
      </c>
      <c r="F23" s="132">
        <f>IFERROR(_xlfn.XLOOKUP($A23,'Raw Data'!$G:$G,'Raw Data'!$AM:$AM),"")</f>
        <v>12.416666666666668</v>
      </c>
      <c r="G23" s="133">
        <f>IFERROR(_xlfn.XLOOKUP($A23,'Raw Data'!$G:$G,'Raw Data'!$AB:$AB),"")</f>
        <v>0</v>
      </c>
      <c r="H23" s="133"/>
      <c r="I23" s="133">
        <f>IFERROR(_xlfn.XLOOKUP($A23,'Raw Data'!$G:$G,'Raw Data'!$AC:$AC),"")</f>
        <v>5.54</v>
      </c>
      <c r="J23" s="133"/>
      <c r="K23" s="133">
        <f>IFERROR(_xlfn.XLOOKUP($A23,'Raw Data'!$G:$G,'Raw Data'!AD:AD),"")</f>
        <v>0</v>
      </c>
      <c r="L23" s="133">
        <f>IFERROR(_xlfn.XLOOKUP($A23,'Raw Data'!$G:$G,'Raw Data'!AE:AE),"")</f>
        <v>43.31</v>
      </c>
      <c r="M23" s="133">
        <f>IFERROR(_xlfn.XLOOKUP($A23,'Raw Data'!$G:$G,'Raw Data'!AF:AF),"")</f>
        <v>0</v>
      </c>
      <c r="N23" s="133">
        <f>IFERROR(_xlfn.XLOOKUP($A23,'Raw Data'!$G:$G,'Raw Data'!AG:AG),"")</f>
        <v>0</v>
      </c>
      <c r="O23" s="134">
        <f>IFERROR(1-SUMIF('Plant BD'!$H:$H,$A23,'Plant BD'!$AE:$AE)/($AA23+SUMIF('Plant BD'!$H:$H,$A23,'Plant BD'!$AE:$AE)),"")</f>
        <v>1</v>
      </c>
      <c r="P23" s="134"/>
      <c r="Q23" s="135"/>
      <c r="R23" s="134">
        <f>IFERROR(1-SUMIF('Grid BD'!$H:$H,$A23,'Grid BD'!$AD:$AD)/($AA23+SUMIF('Grid BD'!$H:$H,$A23,'Grid BD'!$AD:$AD)),"")</f>
        <v>0.95910968906347527</v>
      </c>
      <c r="T23" s="135"/>
      <c r="U23" s="136">
        <f t="shared" si="1"/>
        <v>0.74939599358068676</v>
      </c>
      <c r="V23" s="136"/>
      <c r="W23" s="137">
        <f t="shared" si="2"/>
        <v>0.17298557518487517</v>
      </c>
      <c r="X23" s="130">
        <f>IFERROR(_xlfn.XLOOKUP($A23,'Raw Data'!$G:$G,'Raw Data'!AI:AI),"")</f>
        <v>33721.5</v>
      </c>
      <c r="Y23" s="130">
        <f>IFERROR(_xlfn.XLOOKUP($A23,'Raw Data'!$G:$G,'Raw Data'!AJ:AJ),"")</f>
        <v>33400.000000008731</v>
      </c>
      <c r="Z23" s="130">
        <f>IFERROR(_xlfn.XLOOKUP($A23,'Raw Data'!$G:$G,'Raw Data'!AK:AK),"")</f>
        <v>99.999999999965894</v>
      </c>
      <c r="AA23" s="130">
        <f>IFERROR(_xlfn.XLOOKUP($A23,'Raw Data'!$G:$G,'Raw Data'!AL:AL),"")</f>
        <v>33300.000000008768</v>
      </c>
      <c r="AB23" s="130">
        <f>IFERROR(_xlfn.XLOOKUP($A23,'Raw Data'!$G:$G,'Raw Data'!H:H),"")</f>
        <v>8.0208999999999993</v>
      </c>
      <c r="AC23" s="76">
        <f>IFERROR(_xlfn.XLOOKUP($D23,'Modelling New'!$D:$D,'Modelling New'!P:P),"")</f>
        <v>6.39</v>
      </c>
      <c r="AD23" s="130">
        <f>IFERROR(_xlfn.XLOOKUP($D23,'Modelling New'!$D:$D,'Modelling New'!$T:$T)*1000,"")</f>
        <v>34610.228394529106</v>
      </c>
      <c r="AE23" s="138">
        <f>IFERROR(_xlfn.XLOOKUP($D23,'Modelling New'!$D:$D,'Modelling New'!O:O),"")</f>
        <v>0.67527474134483101</v>
      </c>
      <c r="AF23" s="137">
        <f>IFERROR(_xlfn.XLOOKUP($D23,'Modelling New'!$D:$D,'Modelling New'!W:W),"")</f>
        <v>0.17979189988306124</v>
      </c>
      <c r="AG23" s="137">
        <f>IFERROR(_xlfn.XLOOKUP($D23,'Modelling New'!$D:$D,'Modelling New'!AE:AE),"")</f>
        <v>0.98040000000000005</v>
      </c>
      <c r="AH23" s="156">
        <f>IFERROR(_xlfn.XLOOKUP($D23,'Modelling New'!$D:$D,'Modelling New'!AF:AF),"")</f>
        <v>0.98</v>
      </c>
      <c r="AN23" s="134"/>
      <c r="AO23" s="137"/>
      <c r="AP23" s="137"/>
      <c r="AQ23" s="137"/>
      <c r="AR23" s="130">
        <f>'Basic Data'!$B$98/1000</f>
        <v>8.0208999999999993</v>
      </c>
    </row>
    <row r="24" spans="1:44" x14ac:dyDescent="0.3">
      <c r="A24" s="129">
        <f t="shared" si="3"/>
        <v>45767</v>
      </c>
      <c r="B24" s="130">
        <f>YEAR(Table13[[#This Row],[Date]])+IF(MONTH(Table13[[#This Row],[Date]])&gt;=4,1,0)</f>
        <v>2026</v>
      </c>
      <c r="C24" s="7">
        <f>YEAR(Table13[[#This Row],[Date]])</f>
        <v>2025</v>
      </c>
      <c r="D24" s="131">
        <f>Table13[[#This Row],[Date]]-DAY(Table13[[#This Row],[Date]])+1</f>
        <v>45748</v>
      </c>
      <c r="E24" s="7">
        <f t="shared" si="0"/>
        <v>30</v>
      </c>
      <c r="F24" s="132">
        <f>IFERROR(_xlfn.XLOOKUP($A24,'Raw Data'!$G:$G,'Raw Data'!$AM:$AM),"")</f>
        <v>12.5</v>
      </c>
      <c r="G24" s="133">
        <f>IFERROR(_xlfn.XLOOKUP($A24,'Raw Data'!$G:$G,'Raw Data'!$AB:$AB),"")</f>
        <v>0</v>
      </c>
      <c r="H24" s="133"/>
      <c r="I24" s="133">
        <f>IFERROR(_xlfn.XLOOKUP($A24,'Raw Data'!$G:$G,'Raw Data'!$AC:$AC),"")</f>
        <v>5.12</v>
      </c>
      <c r="J24" s="133"/>
      <c r="K24" s="133">
        <f>IFERROR(_xlfn.XLOOKUP($A24,'Raw Data'!$G:$G,'Raw Data'!AD:AD),"")</f>
        <v>0</v>
      </c>
      <c r="L24" s="133">
        <f>IFERROR(_xlfn.XLOOKUP($A24,'Raw Data'!$G:$G,'Raw Data'!AE:AE),"")</f>
        <v>45.39</v>
      </c>
      <c r="M24" s="133">
        <f>IFERROR(_xlfn.XLOOKUP($A24,'Raw Data'!$G:$G,'Raw Data'!AF:AF),"")</f>
        <v>0</v>
      </c>
      <c r="N24" s="133">
        <f>IFERROR(_xlfn.XLOOKUP($A24,'Raw Data'!$G:$G,'Raw Data'!AG:AG),"")</f>
        <v>0</v>
      </c>
      <c r="O24" s="134">
        <f>IFERROR(1-SUMIF('Plant BD'!$H:$H,$A24,'Plant BD'!$AE:$AE)/($AA24+SUMIF('Plant BD'!$H:$H,$A24,'Plant BD'!$AE:$AE)),"")</f>
        <v>1</v>
      </c>
      <c r="P24" s="134"/>
      <c r="Q24" s="135"/>
      <c r="R24" s="134">
        <f>IFERROR(1-SUMIF('Grid BD'!$H:$H,$A24,'Grid BD'!$AD:$AD)/($AA24+SUMIF('Grid BD'!$H:$H,$A24,'Grid BD'!$AD:$AD)),"")</f>
        <v>1</v>
      </c>
      <c r="T24" s="135"/>
      <c r="U24" s="136">
        <f>IFERROR(AA24/I24/AB24/1000,"")</f>
        <v>0.97767044533655778</v>
      </c>
      <c r="V24" s="136"/>
      <c r="W24" s="137">
        <f t="shared" si="2"/>
        <v>0.20856969500513231</v>
      </c>
      <c r="X24" s="130">
        <f>IFERROR(_xlfn.XLOOKUP($A24,'Raw Data'!$G:$G,'Raw Data'!AI:AI),"")</f>
        <v>40625.899999999994</v>
      </c>
      <c r="Y24" s="130">
        <f>IFERROR(_xlfn.XLOOKUP($A24,'Raw Data'!$G:$G,'Raw Data'!AJ:AJ),"")</f>
        <v>40250</v>
      </c>
      <c r="Z24" s="130">
        <f>IFERROR(_xlfn.XLOOKUP($A24,'Raw Data'!$G:$G,'Raw Data'!AK:AK),"")</f>
        <v>100.00000000002274</v>
      </c>
      <c r="AA24" s="130">
        <f>IFERROR(_xlfn.XLOOKUP($A24,'Raw Data'!$G:$G,'Raw Data'!AL:AL),"")</f>
        <v>40149.999999999978</v>
      </c>
      <c r="AB24" s="130">
        <f>IFERROR(_xlfn.XLOOKUP($A24,'Raw Data'!$G:$G,'Raw Data'!H:H),"")</f>
        <v>8.0208999999999993</v>
      </c>
      <c r="AC24" s="76">
        <f>IFERROR(_xlfn.XLOOKUP($D24,'Modelling New'!$D:$D,'Modelling New'!P:P),"")</f>
        <v>6.39</v>
      </c>
      <c r="AD24" s="130">
        <f>IFERROR(_xlfn.XLOOKUP($D24,'Modelling New'!$D:$D,'Modelling New'!$T:$T)*1000,"")</f>
        <v>34610.228394529106</v>
      </c>
      <c r="AE24" s="138">
        <f>IFERROR(_xlfn.XLOOKUP($D24,'Modelling New'!$D:$D,'Modelling New'!O:O),"")</f>
        <v>0.67527474134483101</v>
      </c>
      <c r="AF24" s="137">
        <f>IFERROR(_xlfn.XLOOKUP($D24,'Modelling New'!$D:$D,'Modelling New'!W:W),"")</f>
        <v>0.17979189988306124</v>
      </c>
      <c r="AG24" s="137">
        <f>IFERROR(_xlfn.XLOOKUP($D24,'Modelling New'!$D:$D,'Modelling New'!AE:AE),"")</f>
        <v>0.98040000000000005</v>
      </c>
      <c r="AH24" s="156">
        <f>IFERROR(_xlfn.XLOOKUP($D24,'Modelling New'!$D:$D,'Modelling New'!AF:AF),"")</f>
        <v>0.98</v>
      </c>
      <c r="AN24" s="134"/>
      <c r="AO24" s="137"/>
      <c r="AP24" s="137"/>
      <c r="AQ24" s="137"/>
      <c r="AR24" s="130">
        <f>'Basic Data'!$B$98/1000</f>
        <v>8.0208999999999993</v>
      </c>
    </row>
    <row r="25" spans="1:44" x14ac:dyDescent="0.3">
      <c r="A25" s="129">
        <f t="shared" si="3"/>
        <v>45768</v>
      </c>
      <c r="B25" s="130">
        <f>YEAR(Table13[[#This Row],[Date]])+IF(MONTH(Table13[[#This Row],[Date]])&gt;=4,1,0)</f>
        <v>2026</v>
      </c>
      <c r="C25" s="7">
        <f>YEAR(Table13[[#This Row],[Date]])</f>
        <v>2025</v>
      </c>
      <c r="D25" s="131">
        <f>Table13[[#This Row],[Date]]-DAY(Table13[[#This Row],[Date]])+1</f>
        <v>45748</v>
      </c>
      <c r="E25" s="7">
        <f t="shared" si="0"/>
        <v>30</v>
      </c>
      <c r="F25" s="132">
        <f>IFERROR(_xlfn.XLOOKUP($A25,'Raw Data'!$G:$G,'Raw Data'!$AM:$AM),"")</f>
        <v>12.450000000000001</v>
      </c>
      <c r="G25" s="133">
        <f>IFERROR(_xlfn.XLOOKUP($A25,'Raw Data'!$G:$G,'Raw Data'!$AB:$AB),"")</f>
        <v>0</v>
      </c>
      <c r="H25" s="133"/>
      <c r="I25" s="133">
        <f>IFERROR(_xlfn.XLOOKUP($A25,'Raw Data'!$G:$G,'Raw Data'!$AC:$AC),"")</f>
        <v>5.26</v>
      </c>
      <c r="J25" s="133"/>
      <c r="K25" s="133">
        <f>IFERROR(_xlfn.XLOOKUP($A25,'Raw Data'!$G:$G,'Raw Data'!AD:AD),"")</f>
        <v>0</v>
      </c>
      <c r="L25" s="133">
        <f>IFERROR(_xlfn.XLOOKUP($A25,'Raw Data'!$G:$G,'Raw Data'!AE:AE),"")</f>
        <v>43.8</v>
      </c>
      <c r="M25" s="133">
        <f>IFERROR(_xlfn.XLOOKUP($A25,'Raw Data'!$G:$G,'Raw Data'!AF:AF),"")</f>
        <v>0</v>
      </c>
      <c r="N25" s="133">
        <f>IFERROR(_xlfn.XLOOKUP($A25,'Raw Data'!$G:$G,'Raw Data'!AG:AG),"")</f>
        <v>0</v>
      </c>
      <c r="O25" s="134">
        <f>IFERROR(1-SUMIF('Plant BD'!$H:$H,$A25,'Plant BD'!$AE:$AE)/($AA25+SUMIF('Plant BD'!$H:$H,$A25,'Plant BD'!$AE:$AE)),"")</f>
        <v>1</v>
      </c>
      <c r="P25" s="134"/>
      <c r="Q25" s="135"/>
      <c r="R25" s="134">
        <f>IFERROR(1-SUMIF('Grid BD'!$H:$H,$A25,'Grid BD'!$AD:$AD)/($AA25+SUMIF('Grid BD'!$H:$H,$A25,'Grid BD'!$AD:$AD)),"")</f>
        <v>0.80246603901457814</v>
      </c>
      <c r="T25" s="135"/>
      <c r="U25" s="136">
        <f t="shared" si="1"/>
        <v>0.68736774985216254</v>
      </c>
      <c r="V25" s="136"/>
      <c r="W25" s="137">
        <f t="shared" si="2"/>
        <v>0.15064809850926561</v>
      </c>
      <c r="X25" s="130">
        <f>IFERROR(_xlfn.XLOOKUP($A25,'Raw Data'!$G:$G,'Raw Data'!AI:AI),"")</f>
        <v>29341.9</v>
      </c>
      <c r="Y25" s="130">
        <f>IFERROR(_xlfn.XLOOKUP($A25,'Raw Data'!$G:$G,'Raw Data'!AJ:AJ),"")</f>
        <v>29099.999999991269</v>
      </c>
      <c r="Z25" s="130">
        <f>IFERROR(_xlfn.XLOOKUP($A25,'Raw Data'!$G:$G,'Raw Data'!AK:AK),"")</f>
        <v>100.00000000002274</v>
      </c>
      <c r="AA25" s="130">
        <f>IFERROR(_xlfn.XLOOKUP($A25,'Raw Data'!$G:$G,'Raw Data'!AL:AL),"")</f>
        <v>28999.999999991247</v>
      </c>
      <c r="AB25" s="130">
        <f>IFERROR(_xlfn.XLOOKUP($A25,'Raw Data'!$G:$G,'Raw Data'!H:H),"")</f>
        <v>8.0208999999999993</v>
      </c>
      <c r="AC25" s="76">
        <f>IFERROR(_xlfn.XLOOKUP($D25,'Modelling New'!$D:$D,'Modelling New'!P:P),"")</f>
        <v>6.39</v>
      </c>
      <c r="AD25" s="130">
        <f>IFERROR(_xlfn.XLOOKUP($D25,'Modelling New'!$D:$D,'Modelling New'!$T:$T)*1000,"")</f>
        <v>34610.228394529106</v>
      </c>
      <c r="AE25" s="138">
        <f>IFERROR(_xlfn.XLOOKUP($D25,'Modelling New'!$D:$D,'Modelling New'!O:O),"")</f>
        <v>0.67527474134483101</v>
      </c>
      <c r="AF25" s="137">
        <f>IFERROR(_xlfn.XLOOKUP($D25,'Modelling New'!$D:$D,'Modelling New'!W:W),"")</f>
        <v>0.17979189988306124</v>
      </c>
      <c r="AG25" s="137">
        <f>IFERROR(_xlfn.XLOOKUP($D25,'Modelling New'!$D:$D,'Modelling New'!AE:AE),"")</f>
        <v>0.98040000000000005</v>
      </c>
      <c r="AH25" s="156">
        <f>IFERROR(_xlfn.XLOOKUP($D25,'Modelling New'!$D:$D,'Modelling New'!AF:AF),"")</f>
        <v>0.98</v>
      </c>
      <c r="AN25" s="134"/>
      <c r="AO25" s="137"/>
      <c r="AP25" s="137"/>
      <c r="AQ25" s="137"/>
      <c r="AR25" s="130">
        <f>'Basic Data'!$B$98/1000</f>
        <v>8.0208999999999993</v>
      </c>
    </row>
    <row r="26" spans="1:44" x14ac:dyDescent="0.3">
      <c r="A26" s="129">
        <f t="shared" si="3"/>
        <v>45769</v>
      </c>
      <c r="B26" s="130">
        <f>YEAR(Table13[[#This Row],[Date]])+IF(MONTH(Table13[[#This Row],[Date]])&gt;=4,1,0)</f>
        <v>2026</v>
      </c>
      <c r="C26" s="7">
        <f>YEAR(Table13[[#This Row],[Date]])</f>
        <v>2025</v>
      </c>
      <c r="D26" s="131">
        <f>Table13[[#This Row],[Date]]-DAY(Table13[[#This Row],[Date]])+1</f>
        <v>45748</v>
      </c>
      <c r="E26" s="7">
        <f t="shared" si="0"/>
        <v>30</v>
      </c>
      <c r="F26" s="132">
        <f>IFERROR(_xlfn.XLOOKUP($A26,'Raw Data'!$G:$G,'Raw Data'!$AM:$AM),"")</f>
        <v>12.5</v>
      </c>
      <c r="G26" s="133">
        <f>IFERROR(_xlfn.XLOOKUP($A26,'Raw Data'!$G:$G,'Raw Data'!$AB:$AB),"")</f>
        <v>0</v>
      </c>
      <c r="H26" s="133"/>
      <c r="I26" s="133">
        <f>IFERROR(_xlfn.XLOOKUP($A26,'Raw Data'!$G:$G,'Raw Data'!$AC:$AC),"")</f>
        <v>5.79</v>
      </c>
      <c r="J26" s="133"/>
      <c r="K26" s="133">
        <f>IFERROR(_xlfn.XLOOKUP($A26,'Raw Data'!$G:$G,'Raw Data'!AD:AD),"")</f>
        <v>0</v>
      </c>
      <c r="L26" s="133">
        <f>IFERROR(_xlfn.XLOOKUP($A26,'Raw Data'!$G:$G,'Raw Data'!AE:AE),"")</f>
        <v>46.12</v>
      </c>
      <c r="M26" s="133">
        <f>IFERROR(_xlfn.XLOOKUP($A26,'Raw Data'!$G:$G,'Raw Data'!AF:AF),"")</f>
        <v>0</v>
      </c>
      <c r="N26" s="133">
        <f>IFERROR(_xlfn.XLOOKUP($A26,'Raw Data'!$G:$G,'Raw Data'!AG:AG),"")</f>
        <v>0</v>
      </c>
      <c r="O26" s="134">
        <f>IFERROR(1-SUMIF('Plant BD'!$H:$H,$A26,'Plant BD'!$AE:$AE)/($AA26+SUMIF('Plant BD'!$H:$H,$A26,'Plant BD'!$AE:$AE)),"")</f>
        <v>1</v>
      </c>
      <c r="P26" s="134"/>
      <c r="Q26" s="135"/>
      <c r="R26" s="134">
        <f>IFERROR(1-SUMIF('Grid BD'!$H:$H,$A26,'Grid BD'!$AD:$AD)/($AA26+SUMIF('Grid BD'!$H:$H,$A26,'Grid BD'!$AD:$AD)),"")</f>
        <v>1</v>
      </c>
      <c r="T26" s="135"/>
      <c r="U26" s="136">
        <f t="shared" si="1"/>
        <v>0.7299582689963412</v>
      </c>
      <c r="V26" s="136"/>
      <c r="W26" s="137">
        <f t="shared" si="2"/>
        <v>0.1761024323953673</v>
      </c>
      <c r="X26" s="130">
        <f>IFERROR(_xlfn.XLOOKUP($A26,'Raw Data'!$G:$G,'Raw Data'!AI:AI),"")</f>
        <v>34331.300000000003</v>
      </c>
      <c r="Y26" s="130">
        <f>IFERROR(_xlfn.XLOOKUP($A26,'Raw Data'!$G:$G,'Raw Data'!AJ:AJ),"")</f>
        <v>34000</v>
      </c>
      <c r="Z26" s="130">
        <f>IFERROR(_xlfn.XLOOKUP($A26,'Raw Data'!$G:$G,'Raw Data'!AK:AK),"")</f>
        <v>99.999999999965894</v>
      </c>
      <c r="AA26" s="130">
        <f>IFERROR(_xlfn.XLOOKUP($A26,'Raw Data'!$G:$G,'Raw Data'!AL:AL),"")</f>
        <v>33900.000000000036</v>
      </c>
      <c r="AB26" s="130">
        <f>IFERROR(_xlfn.XLOOKUP($A26,'Raw Data'!$G:$G,'Raw Data'!H:H),"")</f>
        <v>8.0208999999999993</v>
      </c>
      <c r="AC26" s="76">
        <f>IFERROR(_xlfn.XLOOKUP($D26,'Modelling New'!$D:$D,'Modelling New'!P:P),"")</f>
        <v>6.39</v>
      </c>
      <c r="AD26" s="130">
        <f>IFERROR(_xlfn.XLOOKUP($D26,'Modelling New'!$D:$D,'Modelling New'!$T:$T)*1000,"")</f>
        <v>34610.228394529106</v>
      </c>
      <c r="AE26" s="138">
        <f>IFERROR(_xlfn.XLOOKUP($D26,'Modelling New'!$D:$D,'Modelling New'!O:O),"")</f>
        <v>0.67527474134483101</v>
      </c>
      <c r="AF26" s="137">
        <f>IFERROR(_xlfn.XLOOKUP($D26,'Modelling New'!$D:$D,'Modelling New'!W:W),"")</f>
        <v>0.17979189988306124</v>
      </c>
      <c r="AG26" s="137">
        <f>IFERROR(_xlfn.XLOOKUP($D26,'Modelling New'!$D:$D,'Modelling New'!AE:AE),"")</f>
        <v>0.98040000000000005</v>
      </c>
      <c r="AH26" s="156">
        <f>IFERROR(_xlfn.XLOOKUP($D26,'Modelling New'!$D:$D,'Modelling New'!AF:AF),"")</f>
        <v>0.98</v>
      </c>
      <c r="AN26" s="134"/>
      <c r="AO26" s="137"/>
      <c r="AP26" s="137"/>
      <c r="AQ26" s="137"/>
      <c r="AR26" s="130">
        <f>'Basic Data'!$B$98/1000</f>
        <v>8.0208999999999993</v>
      </c>
    </row>
    <row r="27" spans="1:44" x14ac:dyDescent="0.3">
      <c r="A27" s="129">
        <f t="shared" si="3"/>
        <v>45770</v>
      </c>
      <c r="B27" s="130">
        <f>YEAR(Table13[[#This Row],[Date]])+IF(MONTH(Table13[[#This Row],[Date]])&gt;=4,1,0)</f>
        <v>2026</v>
      </c>
      <c r="C27" s="7">
        <f>YEAR(Table13[[#This Row],[Date]])</f>
        <v>2025</v>
      </c>
      <c r="D27" s="131">
        <f>Table13[[#This Row],[Date]]-DAY(Table13[[#This Row],[Date]])+1</f>
        <v>45748</v>
      </c>
      <c r="E27" s="7">
        <f t="shared" si="0"/>
        <v>30</v>
      </c>
      <c r="F27" s="132">
        <f>IFERROR(_xlfn.XLOOKUP($A27,'Raw Data'!$G:$G,'Raw Data'!$AM:$AM),"")</f>
        <v>12.383333333333335</v>
      </c>
      <c r="G27" s="133">
        <f>IFERROR(_xlfn.XLOOKUP($A27,'Raw Data'!$G:$G,'Raw Data'!$AB:$AB),"")</f>
        <v>0</v>
      </c>
      <c r="H27" s="133"/>
      <c r="I27" s="133">
        <f>IFERROR(_xlfn.XLOOKUP($A27,'Raw Data'!$G:$G,'Raw Data'!$AC:$AC),"")</f>
        <v>5.92</v>
      </c>
      <c r="J27" s="133"/>
      <c r="K27" s="133">
        <f>IFERROR(_xlfn.XLOOKUP($A27,'Raw Data'!$G:$G,'Raw Data'!AD:AD),"")</f>
        <v>0</v>
      </c>
      <c r="L27" s="133">
        <f>IFERROR(_xlfn.XLOOKUP($A27,'Raw Data'!$G:$G,'Raw Data'!AE:AE),"")</f>
        <v>47.02</v>
      </c>
      <c r="M27" s="133">
        <f>IFERROR(_xlfn.XLOOKUP($A27,'Raw Data'!$G:$G,'Raw Data'!AF:AF),"")</f>
        <v>0</v>
      </c>
      <c r="N27" s="133">
        <f>IFERROR(_xlfn.XLOOKUP($A27,'Raw Data'!$G:$G,'Raw Data'!AG:AG),"")</f>
        <v>0</v>
      </c>
      <c r="O27" s="134">
        <f>IFERROR(1-SUMIF('Plant BD'!$H:$H,$A27,'Plant BD'!$AE:$AE)/($AA27+SUMIF('Plant BD'!$H:$H,$A27,'Plant BD'!$AE:$AE)),"")</f>
        <v>1</v>
      </c>
      <c r="P27" s="134"/>
      <c r="Q27" s="135"/>
      <c r="R27" s="134">
        <f>IFERROR(1-SUMIF('Grid BD'!$H:$H,$A27,'Grid BD'!$AD:$AD)/($AA27+SUMIF('Grid BD'!$H:$H,$A27,'Grid BD'!$AD:$AD)),"")</f>
        <v>1</v>
      </c>
      <c r="T27" s="135"/>
      <c r="U27" s="136">
        <f t="shared" si="1"/>
        <v>0.68655098015886784</v>
      </c>
      <c r="V27" s="136"/>
      <c r="W27" s="137">
        <f t="shared" si="2"/>
        <v>0.16934924177252067</v>
      </c>
      <c r="X27" s="130">
        <f>IFERROR(_xlfn.XLOOKUP($A27,'Raw Data'!$G:$G,'Raw Data'!AI:AI),"")</f>
        <v>33061.399999999994</v>
      </c>
      <c r="Y27" s="130">
        <f>IFERROR(_xlfn.XLOOKUP($A27,'Raw Data'!$G:$G,'Raw Data'!AJ:AJ),"")</f>
        <v>32699.99999999709</v>
      </c>
      <c r="Z27" s="130">
        <f>IFERROR(_xlfn.XLOOKUP($A27,'Raw Data'!$G:$G,'Raw Data'!AK:AK),"")</f>
        <v>100.00000000002274</v>
      </c>
      <c r="AA27" s="130">
        <f>IFERROR(_xlfn.XLOOKUP($A27,'Raw Data'!$G:$G,'Raw Data'!AL:AL),"")</f>
        <v>32599.999999997068</v>
      </c>
      <c r="AB27" s="130">
        <f>IFERROR(_xlfn.XLOOKUP($A27,'Raw Data'!$G:$G,'Raw Data'!H:H),"")</f>
        <v>8.0208999999999993</v>
      </c>
      <c r="AC27" s="76">
        <f>IFERROR(_xlfn.XLOOKUP($D27,'Modelling New'!$D:$D,'Modelling New'!P:P),"")</f>
        <v>6.39</v>
      </c>
      <c r="AD27" s="130">
        <f>IFERROR(_xlfn.XLOOKUP($D27,'Modelling New'!$D:$D,'Modelling New'!$T:$T)*1000,"")</f>
        <v>34610.228394529106</v>
      </c>
      <c r="AE27" s="138">
        <f>IFERROR(_xlfn.XLOOKUP($D27,'Modelling New'!$D:$D,'Modelling New'!O:O),"")</f>
        <v>0.67527474134483101</v>
      </c>
      <c r="AF27" s="137">
        <f>IFERROR(_xlfn.XLOOKUP($D27,'Modelling New'!$D:$D,'Modelling New'!W:W),"")</f>
        <v>0.17979189988306124</v>
      </c>
      <c r="AG27" s="137">
        <f>IFERROR(_xlfn.XLOOKUP($D27,'Modelling New'!$D:$D,'Modelling New'!AE:AE),"")</f>
        <v>0.98040000000000005</v>
      </c>
      <c r="AH27" s="156">
        <f>IFERROR(_xlfn.XLOOKUP($D27,'Modelling New'!$D:$D,'Modelling New'!AF:AF),"")</f>
        <v>0.98</v>
      </c>
      <c r="AN27" s="134"/>
      <c r="AO27" s="137"/>
      <c r="AP27" s="137"/>
      <c r="AQ27" s="137"/>
      <c r="AR27" s="130">
        <f>'Basic Data'!$B$98/1000</f>
        <v>8.0208999999999993</v>
      </c>
    </row>
    <row r="28" spans="1:44" x14ac:dyDescent="0.3">
      <c r="A28" s="129">
        <f t="shared" si="3"/>
        <v>45771</v>
      </c>
      <c r="B28" s="130">
        <f>YEAR(Table13[[#This Row],[Date]])+IF(MONTH(Table13[[#This Row],[Date]])&gt;=4,1,0)</f>
        <v>2026</v>
      </c>
      <c r="C28" s="7">
        <f>YEAR(Table13[[#This Row],[Date]])</f>
        <v>2025</v>
      </c>
      <c r="D28" s="131">
        <f>Table13[[#This Row],[Date]]-DAY(Table13[[#This Row],[Date]])+1</f>
        <v>45748</v>
      </c>
      <c r="E28" s="7">
        <f t="shared" si="0"/>
        <v>30</v>
      </c>
      <c r="F28" s="132">
        <f>IFERROR(_xlfn.XLOOKUP($A28,'Raw Data'!$G:$G,'Raw Data'!$AM:$AM),"")</f>
        <v>12.233333333333333</v>
      </c>
      <c r="G28" s="133">
        <f>IFERROR(_xlfn.XLOOKUP($A28,'Raw Data'!$G:$G,'Raw Data'!$AB:$AB),"")</f>
        <v>0</v>
      </c>
      <c r="H28" s="133"/>
      <c r="I28" s="133">
        <f>IFERROR(_xlfn.XLOOKUP($A28,'Raw Data'!$G:$G,'Raw Data'!$AC:$AC),"")</f>
        <v>5.6</v>
      </c>
      <c r="J28" s="133"/>
      <c r="K28" s="133">
        <f>IFERROR(_xlfn.XLOOKUP($A28,'Raw Data'!$G:$G,'Raw Data'!AD:AD),"")</f>
        <v>0</v>
      </c>
      <c r="L28" s="133">
        <f>IFERROR(_xlfn.XLOOKUP($A28,'Raw Data'!$G:$G,'Raw Data'!AE:AE),"")</f>
        <v>46.38</v>
      </c>
      <c r="M28" s="133">
        <f>IFERROR(_xlfn.XLOOKUP($A28,'Raw Data'!$G:$G,'Raw Data'!AF:AF),"")</f>
        <v>0</v>
      </c>
      <c r="N28" s="133">
        <f>IFERROR(_xlfn.XLOOKUP($A28,'Raw Data'!$G:$G,'Raw Data'!AG:AG),"")</f>
        <v>0</v>
      </c>
      <c r="O28" s="134">
        <f>IFERROR(1-SUMIF('Plant BD'!$H:$H,$A28,'Plant BD'!$AE:$AE)/($AA28+SUMIF('Plant BD'!$H:$H,$A28,'Plant BD'!$AE:$AE)),"")</f>
        <v>1</v>
      </c>
      <c r="P28" s="134"/>
      <c r="Q28" s="135"/>
      <c r="R28" s="134">
        <f>IFERROR(1-SUMIF('Grid BD'!$H:$H,$A28,'Grid BD'!$AD:$AD)/($AA28+SUMIF('Grid BD'!$H:$H,$A28,'Grid BD'!$AD:$AD)),"")</f>
        <v>0.97772101564103819</v>
      </c>
      <c r="T28" s="135"/>
      <c r="U28" s="136">
        <f t="shared" si="1"/>
        <v>0.78366695579234413</v>
      </c>
      <c r="V28" s="136"/>
      <c r="W28" s="137">
        <f t="shared" si="2"/>
        <v>0.18285562301821359</v>
      </c>
      <c r="X28" s="130">
        <f>IFERROR(_xlfn.XLOOKUP($A28,'Raw Data'!$G:$G,'Raw Data'!AI:AI),"")</f>
        <v>35600.400000000001</v>
      </c>
      <c r="Y28" s="130">
        <f>IFERROR(_xlfn.XLOOKUP($A28,'Raw Data'!$G:$G,'Raw Data'!AJ:AJ),"")</f>
        <v>35300.00000000291</v>
      </c>
      <c r="Z28" s="130">
        <f>IFERROR(_xlfn.XLOOKUP($A28,'Raw Data'!$G:$G,'Raw Data'!AK:AK),"")</f>
        <v>99.999999999965894</v>
      </c>
      <c r="AA28" s="130">
        <f>IFERROR(_xlfn.XLOOKUP($A28,'Raw Data'!$G:$G,'Raw Data'!AL:AL),"")</f>
        <v>35200.000000002947</v>
      </c>
      <c r="AB28" s="130">
        <f>IFERROR(_xlfn.XLOOKUP($A28,'Raw Data'!$G:$G,'Raw Data'!H:H),"")</f>
        <v>8.0208999999999993</v>
      </c>
      <c r="AC28" s="76">
        <f>IFERROR(_xlfn.XLOOKUP($D28,'Modelling New'!$D:$D,'Modelling New'!P:P),"")</f>
        <v>6.39</v>
      </c>
      <c r="AD28" s="130">
        <f>IFERROR(_xlfn.XLOOKUP($D28,'Modelling New'!$D:$D,'Modelling New'!$T:$T)*1000,"")</f>
        <v>34610.228394529106</v>
      </c>
      <c r="AE28" s="138">
        <f>IFERROR(_xlfn.XLOOKUP($D28,'Modelling New'!$D:$D,'Modelling New'!O:O),"")</f>
        <v>0.67527474134483101</v>
      </c>
      <c r="AF28" s="137">
        <f>IFERROR(_xlfn.XLOOKUP($D28,'Modelling New'!$D:$D,'Modelling New'!W:W),"")</f>
        <v>0.17979189988306124</v>
      </c>
      <c r="AG28" s="137">
        <f>IFERROR(_xlfn.XLOOKUP($D28,'Modelling New'!$D:$D,'Modelling New'!AE:AE),"")</f>
        <v>0.98040000000000005</v>
      </c>
      <c r="AH28" s="156">
        <f>IFERROR(_xlfn.XLOOKUP($D28,'Modelling New'!$D:$D,'Modelling New'!AF:AF),"")</f>
        <v>0.98</v>
      </c>
      <c r="AN28" s="134"/>
      <c r="AO28" s="137"/>
      <c r="AP28" s="137"/>
      <c r="AQ28" s="137"/>
      <c r="AR28" s="130">
        <f>'Basic Data'!$B$98/1000</f>
        <v>8.0208999999999993</v>
      </c>
    </row>
    <row r="29" spans="1:44" x14ac:dyDescent="0.3">
      <c r="A29" s="129">
        <f t="shared" si="3"/>
        <v>45772</v>
      </c>
      <c r="B29" s="130">
        <f>YEAR(Table13[[#This Row],[Date]])+IF(MONTH(Table13[[#This Row],[Date]])&gt;=4,1,0)</f>
        <v>2026</v>
      </c>
      <c r="C29" s="7">
        <f>YEAR(Table13[[#This Row],[Date]])</f>
        <v>2025</v>
      </c>
      <c r="D29" s="131">
        <f>Table13[[#This Row],[Date]]-DAY(Table13[[#This Row],[Date]])+1</f>
        <v>45748</v>
      </c>
      <c r="E29" s="7">
        <f t="shared" si="0"/>
        <v>30</v>
      </c>
      <c r="F29" s="132">
        <f>IFERROR(_xlfn.XLOOKUP($A29,'Raw Data'!$G:$G,'Raw Data'!$AM:$AM),"")</f>
        <v>12.083333333333332</v>
      </c>
      <c r="G29" s="133">
        <f>IFERROR(_xlfn.XLOOKUP($A29,'Raw Data'!$G:$G,'Raw Data'!$AB:$AB),"")</f>
        <v>0</v>
      </c>
      <c r="H29" s="133"/>
      <c r="I29" s="133">
        <f>IFERROR(_xlfn.XLOOKUP($A29,'Raw Data'!$G:$G,'Raw Data'!$AC:$AC),"")</f>
        <v>5.72</v>
      </c>
      <c r="J29" s="133"/>
      <c r="K29" s="133">
        <f>IFERROR(_xlfn.XLOOKUP($A29,'Raw Data'!$G:$G,'Raw Data'!AD:AD),"")</f>
        <v>0</v>
      </c>
      <c r="L29" s="133">
        <f>IFERROR(_xlfn.XLOOKUP($A29,'Raw Data'!$G:$G,'Raw Data'!AE:AE),"")</f>
        <v>46.34</v>
      </c>
      <c r="M29" s="133">
        <f>IFERROR(_xlfn.XLOOKUP($A29,'Raw Data'!$G:$G,'Raw Data'!AF:AF),"")</f>
        <v>0</v>
      </c>
      <c r="N29" s="133">
        <f>IFERROR(_xlfn.XLOOKUP($A29,'Raw Data'!$G:$G,'Raw Data'!AG:AG),"")</f>
        <v>0</v>
      </c>
      <c r="O29" s="134">
        <f>IFERROR(1-SUMIF('Plant BD'!$H:$H,$A29,'Plant BD'!$AE:$AE)/($AA29+SUMIF('Plant BD'!$H:$H,$A29,'Plant BD'!$AE:$AE)),"")</f>
        <v>1</v>
      </c>
      <c r="P29" s="134"/>
      <c r="Q29" s="135"/>
      <c r="R29" s="134">
        <f>IFERROR(1-SUMIF('Grid BD'!$H:$H,$A29,'Grid BD'!$AD:$AD)/($AA29+SUMIF('Grid BD'!$H:$H,$A29,'Grid BD'!$AD:$AD)),"")</f>
        <v>0.94500469178433966</v>
      </c>
      <c r="T29" s="135"/>
      <c r="U29" s="136">
        <f t="shared" si="1"/>
        <v>0.69093967534298495</v>
      </c>
      <c r="V29" s="136"/>
      <c r="W29" s="137">
        <f t="shared" si="2"/>
        <v>0.16467395595674472</v>
      </c>
      <c r="X29" s="130">
        <f>IFERROR(_xlfn.XLOOKUP($A29,'Raw Data'!$G:$G,'Raw Data'!AI:AI),"")</f>
        <v>32081</v>
      </c>
      <c r="Y29" s="130">
        <f>IFERROR(_xlfn.XLOOKUP($A29,'Raw Data'!$G:$G,'Raw Data'!AJ:AJ),"")</f>
        <v>31800.00000000291</v>
      </c>
      <c r="Z29" s="130">
        <f>IFERROR(_xlfn.XLOOKUP($A29,'Raw Data'!$G:$G,'Raw Data'!AK:AK),"")</f>
        <v>100.00000000002274</v>
      </c>
      <c r="AA29" s="130">
        <f>IFERROR(_xlfn.XLOOKUP($A29,'Raw Data'!$G:$G,'Raw Data'!AL:AL),"")</f>
        <v>31700.000000002889</v>
      </c>
      <c r="AB29" s="130">
        <f>IFERROR(_xlfn.XLOOKUP($A29,'Raw Data'!$G:$G,'Raw Data'!H:H),"")</f>
        <v>8.0208999999999993</v>
      </c>
      <c r="AC29" s="76">
        <f>IFERROR(_xlfn.XLOOKUP($D29,'Modelling New'!$D:$D,'Modelling New'!P:P),"")</f>
        <v>6.39</v>
      </c>
      <c r="AD29" s="130">
        <f>IFERROR(_xlfn.XLOOKUP($D29,'Modelling New'!$D:$D,'Modelling New'!$T:$T)*1000,"")</f>
        <v>34610.228394529106</v>
      </c>
      <c r="AE29" s="138">
        <f>IFERROR(_xlfn.XLOOKUP($D29,'Modelling New'!$D:$D,'Modelling New'!O:O),"")</f>
        <v>0.67527474134483101</v>
      </c>
      <c r="AF29" s="137">
        <f>IFERROR(_xlfn.XLOOKUP($D29,'Modelling New'!$D:$D,'Modelling New'!W:W),"")</f>
        <v>0.17979189988306124</v>
      </c>
      <c r="AG29" s="137">
        <f>IFERROR(_xlfn.XLOOKUP($D29,'Modelling New'!$D:$D,'Modelling New'!AE:AE),"")</f>
        <v>0.98040000000000005</v>
      </c>
      <c r="AH29" s="156">
        <f>IFERROR(_xlfn.XLOOKUP($D29,'Modelling New'!$D:$D,'Modelling New'!AF:AF),"")</f>
        <v>0.98</v>
      </c>
      <c r="AN29" s="134"/>
      <c r="AO29" s="137"/>
      <c r="AP29" s="137"/>
      <c r="AQ29" s="137"/>
      <c r="AR29" s="130">
        <f>'Basic Data'!$B$98/1000</f>
        <v>8.0208999999999993</v>
      </c>
    </row>
    <row r="30" spans="1:44" x14ac:dyDescent="0.3">
      <c r="A30" s="129">
        <f t="shared" si="3"/>
        <v>45773</v>
      </c>
      <c r="B30" s="130">
        <f>YEAR(Table13[[#This Row],[Date]])+IF(MONTH(Table13[[#This Row],[Date]])&gt;=4,1,0)</f>
        <v>2026</v>
      </c>
      <c r="C30" s="7">
        <f>YEAR(Table13[[#This Row],[Date]])</f>
        <v>2025</v>
      </c>
      <c r="D30" s="131">
        <f>Table13[[#This Row],[Date]]-DAY(Table13[[#This Row],[Date]])+1</f>
        <v>45748</v>
      </c>
      <c r="E30" s="7">
        <f t="shared" si="0"/>
        <v>30</v>
      </c>
      <c r="F30" s="132">
        <f>IFERROR(_xlfn.XLOOKUP($A30,'Raw Data'!$G:$G,'Raw Data'!$AM:$AM),"")</f>
        <v>12.416666666666668</v>
      </c>
      <c r="G30" s="133">
        <f>IFERROR(_xlfn.XLOOKUP($A30,'Raw Data'!$G:$G,'Raw Data'!$AB:$AB),"")</f>
        <v>0</v>
      </c>
      <c r="H30" s="133"/>
      <c r="I30" s="133">
        <f>IFERROR(_xlfn.XLOOKUP($A30,'Raw Data'!$G:$G,'Raw Data'!$AC:$AC),"")</f>
        <v>5.2</v>
      </c>
      <c r="J30" s="133"/>
      <c r="K30" s="133">
        <f>IFERROR(_xlfn.XLOOKUP($A30,'Raw Data'!$G:$G,'Raw Data'!AD:AD),"")</f>
        <v>0</v>
      </c>
      <c r="L30" s="133">
        <f>IFERROR(_xlfn.XLOOKUP($A30,'Raw Data'!$G:$G,'Raw Data'!AE:AE),"")</f>
        <v>45.56</v>
      </c>
      <c r="M30" s="133">
        <f>IFERROR(_xlfn.XLOOKUP($A30,'Raw Data'!$G:$G,'Raw Data'!AF:AF),"")</f>
        <v>0</v>
      </c>
      <c r="N30" s="133">
        <f>IFERROR(_xlfn.XLOOKUP($A30,'Raw Data'!$G:$G,'Raw Data'!AG:AG),"")</f>
        <v>0</v>
      </c>
      <c r="O30" s="134">
        <f>IFERROR(1-SUMIF('Plant BD'!$H:$H,$A30,'Plant BD'!$AE:$AE)/($AA30+SUMIF('Plant BD'!$H:$H,$A30,'Plant BD'!$AE:$AE)),"")</f>
        <v>1</v>
      </c>
      <c r="P30" s="134"/>
      <c r="Q30" s="135"/>
      <c r="R30" s="134">
        <f>IFERROR(1-SUMIF('Grid BD'!$H:$H,$A30,'Grid BD'!$AD:$AD)/($AA30+SUMIF('Grid BD'!$H:$H,$A30,'Grid BD'!$AD:$AD)),"")</f>
        <v>0.99136860951956929</v>
      </c>
      <c r="T30" s="135"/>
      <c r="U30" s="136">
        <f t="shared" si="1"/>
        <v>0.88350914006375103</v>
      </c>
      <c r="V30" s="136"/>
      <c r="W30" s="137">
        <f t="shared" si="2"/>
        <v>0.191426980347146</v>
      </c>
      <c r="X30" s="130">
        <f>IFERROR(_xlfn.XLOOKUP($A30,'Raw Data'!$G:$G,'Raw Data'!AI:AI),"")</f>
        <v>37233.199999999997</v>
      </c>
      <c r="Y30" s="130">
        <f>IFERROR(_xlfn.XLOOKUP($A30,'Raw Data'!$G:$G,'Raw Data'!AJ:AJ),"")</f>
        <v>36899.999999994179</v>
      </c>
      <c r="Z30" s="130">
        <f>IFERROR(_xlfn.XLOOKUP($A30,'Raw Data'!$G:$G,'Raw Data'!AK:AK),"")</f>
        <v>50.000000000011369</v>
      </c>
      <c r="AA30" s="130">
        <f>IFERROR(_xlfn.XLOOKUP($A30,'Raw Data'!$G:$G,'Raw Data'!AL:AL),"")</f>
        <v>36849.999999994165</v>
      </c>
      <c r="AB30" s="130">
        <f>IFERROR(_xlfn.XLOOKUP($A30,'Raw Data'!$G:$G,'Raw Data'!H:H),"")</f>
        <v>8.0208999999999993</v>
      </c>
      <c r="AC30" s="76">
        <f>IFERROR(_xlfn.XLOOKUP($D30,'Modelling New'!$D:$D,'Modelling New'!P:P),"")</f>
        <v>6.39</v>
      </c>
      <c r="AD30" s="130">
        <f>IFERROR(_xlfn.XLOOKUP($D30,'Modelling New'!$D:$D,'Modelling New'!$T:$T)*1000,"")</f>
        <v>34610.228394529106</v>
      </c>
      <c r="AE30" s="138">
        <f>IFERROR(_xlfn.XLOOKUP($D30,'Modelling New'!$D:$D,'Modelling New'!O:O),"")</f>
        <v>0.67527474134483101</v>
      </c>
      <c r="AF30" s="137">
        <f>IFERROR(_xlfn.XLOOKUP($D30,'Modelling New'!$D:$D,'Modelling New'!W:W),"")</f>
        <v>0.17979189988306124</v>
      </c>
      <c r="AG30" s="137">
        <f>IFERROR(_xlfn.XLOOKUP($D30,'Modelling New'!$D:$D,'Modelling New'!AE:AE),"")</f>
        <v>0.98040000000000005</v>
      </c>
      <c r="AH30" s="156">
        <f>IFERROR(_xlfn.XLOOKUP($D30,'Modelling New'!$D:$D,'Modelling New'!AF:AF),"")</f>
        <v>0.98</v>
      </c>
      <c r="AN30" s="134"/>
      <c r="AO30" s="137"/>
      <c r="AP30" s="137"/>
      <c r="AQ30" s="137"/>
      <c r="AR30" s="130">
        <f>'Basic Data'!$B$98/1000</f>
        <v>8.0208999999999993</v>
      </c>
    </row>
    <row r="31" spans="1:44" x14ac:dyDescent="0.3">
      <c r="A31" s="129">
        <f t="shared" si="3"/>
        <v>45774</v>
      </c>
      <c r="B31" s="130">
        <f>YEAR(Table13[[#This Row],[Date]])+IF(MONTH(Table13[[#This Row],[Date]])&gt;=4,1,0)</f>
        <v>2026</v>
      </c>
      <c r="C31" s="7">
        <f>YEAR(Table13[[#This Row],[Date]])</f>
        <v>2025</v>
      </c>
      <c r="D31" s="131">
        <f>Table13[[#This Row],[Date]]-DAY(Table13[[#This Row],[Date]])+1</f>
        <v>45748</v>
      </c>
      <c r="E31" s="7">
        <f t="shared" si="0"/>
        <v>30</v>
      </c>
      <c r="F31" s="132">
        <f>IFERROR(_xlfn.XLOOKUP($A31,'Raw Data'!$G:$G,'Raw Data'!$AM:$AM),"")</f>
        <v>12.55</v>
      </c>
      <c r="G31" s="133">
        <f>IFERROR(_xlfn.XLOOKUP($A31,'Raw Data'!$G:$G,'Raw Data'!$AB:$AB),"")</f>
        <v>0</v>
      </c>
      <c r="H31" s="133"/>
      <c r="I31" s="133">
        <f>IFERROR(_xlfn.XLOOKUP($A31,'Raw Data'!$G:$G,'Raw Data'!$AC:$AC),"")</f>
        <v>4.6900000000000004</v>
      </c>
      <c r="J31" s="133"/>
      <c r="K31" s="133">
        <f>IFERROR(_xlfn.XLOOKUP($A31,'Raw Data'!$G:$G,'Raw Data'!AD:AD),"")</f>
        <v>0</v>
      </c>
      <c r="L31" s="133">
        <f>IFERROR(_xlfn.XLOOKUP($A31,'Raw Data'!$G:$G,'Raw Data'!AE:AE),"")</f>
        <v>41.92</v>
      </c>
      <c r="M31" s="133">
        <f>IFERROR(_xlfn.XLOOKUP($A31,'Raw Data'!$G:$G,'Raw Data'!AF:AF),"")</f>
        <v>0</v>
      </c>
      <c r="N31" s="133">
        <f>IFERROR(_xlfn.XLOOKUP($A31,'Raw Data'!$G:$G,'Raw Data'!AG:AG),"")</f>
        <v>0</v>
      </c>
      <c r="O31" s="134">
        <f>IFERROR(1-SUMIF('Plant BD'!$H:$H,$A31,'Plant BD'!$AE:$AE)/($AA31+SUMIF('Plant BD'!$H:$H,$A31,'Plant BD'!$AE:$AE)),"")</f>
        <v>1</v>
      </c>
      <c r="P31" s="134"/>
      <c r="Q31" s="135"/>
      <c r="R31" s="134">
        <f>IFERROR(1-SUMIF('Grid BD'!$H:$H,$A31,'Grid BD'!$AD:$AD)/($AA31+SUMIF('Grid BD'!$H:$H,$A31,'Grid BD'!$AD:$AD)),"")</f>
        <v>1</v>
      </c>
      <c r="T31" s="135"/>
      <c r="U31" s="136">
        <f t="shared" si="1"/>
        <v>0.72571600722985308</v>
      </c>
      <c r="V31" s="136"/>
      <c r="W31" s="137">
        <f t="shared" si="2"/>
        <v>0.14181700307950046</v>
      </c>
      <c r="X31" s="130">
        <f>IFERROR(_xlfn.XLOOKUP($A31,'Raw Data'!$G:$G,'Raw Data'!AI:AI),"")</f>
        <v>27668.3</v>
      </c>
      <c r="Y31" s="130">
        <f>IFERROR(_xlfn.XLOOKUP($A31,'Raw Data'!$G:$G,'Raw Data'!AJ:AJ),"")</f>
        <v>27400.000000008731</v>
      </c>
      <c r="Z31" s="130">
        <f>IFERROR(_xlfn.XLOOKUP($A31,'Raw Data'!$G:$G,'Raw Data'!AK:AK),"")</f>
        <v>99.999999999965894</v>
      </c>
      <c r="AA31" s="130">
        <f>IFERROR(_xlfn.XLOOKUP($A31,'Raw Data'!$G:$G,'Raw Data'!AL:AL),"")</f>
        <v>27300.000000008764</v>
      </c>
      <c r="AB31" s="130">
        <f>IFERROR(_xlfn.XLOOKUP($A31,'Raw Data'!$G:$G,'Raw Data'!H:H),"")</f>
        <v>8.0208999999999993</v>
      </c>
      <c r="AC31" s="76">
        <f>IFERROR(_xlfn.XLOOKUP($D31,'Modelling New'!$D:$D,'Modelling New'!P:P),"")</f>
        <v>6.39</v>
      </c>
      <c r="AD31" s="130">
        <f>IFERROR(_xlfn.XLOOKUP($D31,'Modelling New'!$D:$D,'Modelling New'!$T:$T)*1000,"")</f>
        <v>34610.228394529106</v>
      </c>
      <c r="AE31" s="138">
        <f>IFERROR(_xlfn.XLOOKUP($D31,'Modelling New'!$D:$D,'Modelling New'!O:O),"")</f>
        <v>0.67527474134483101</v>
      </c>
      <c r="AF31" s="137">
        <f>IFERROR(_xlfn.XLOOKUP($D31,'Modelling New'!$D:$D,'Modelling New'!W:W),"")</f>
        <v>0.17979189988306124</v>
      </c>
      <c r="AG31" s="137">
        <f>IFERROR(_xlfn.XLOOKUP($D31,'Modelling New'!$D:$D,'Modelling New'!AE:AE),"")</f>
        <v>0.98040000000000005</v>
      </c>
      <c r="AH31" s="156">
        <f>IFERROR(_xlfn.XLOOKUP($D31,'Modelling New'!$D:$D,'Modelling New'!AF:AF),"")</f>
        <v>0.98</v>
      </c>
      <c r="AN31" s="134"/>
      <c r="AO31" s="137"/>
      <c r="AP31" s="137"/>
      <c r="AQ31" s="137"/>
      <c r="AR31" s="130">
        <f>'Basic Data'!$B$98/1000</f>
        <v>8.0208999999999993</v>
      </c>
    </row>
    <row r="32" spans="1:44" x14ac:dyDescent="0.3">
      <c r="A32" s="129">
        <f t="shared" si="3"/>
        <v>45775</v>
      </c>
      <c r="B32" s="130">
        <f>YEAR(Table13[[#This Row],[Date]])+IF(MONTH(Table13[[#This Row],[Date]])&gt;=4,1,0)</f>
        <v>2026</v>
      </c>
      <c r="C32" s="7">
        <f>YEAR(Table13[[#This Row],[Date]])</f>
        <v>2025</v>
      </c>
      <c r="D32" s="131">
        <f>Table13[[#This Row],[Date]]-DAY(Table13[[#This Row],[Date]])+1</f>
        <v>45748</v>
      </c>
      <c r="E32" s="7">
        <f t="shared" si="0"/>
        <v>30</v>
      </c>
      <c r="F32" s="132">
        <f>IFERROR(_xlfn.XLOOKUP($A32,'Raw Data'!$G:$G,'Raw Data'!$AM:$AM),"")</f>
        <v>12.633333333333333</v>
      </c>
      <c r="G32" s="133">
        <f>IFERROR(_xlfn.XLOOKUP($A32,'Raw Data'!$G:$G,'Raw Data'!$AB:$AB),"")</f>
        <v>0</v>
      </c>
      <c r="H32" s="133"/>
      <c r="I32" s="133">
        <f>IFERROR(_xlfn.XLOOKUP($A32,'Raw Data'!$G:$G,'Raw Data'!$AC:$AC),"")</f>
        <v>6.33</v>
      </c>
      <c r="J32" s="133"/>
      <c r="K32" s="133">
        <f>IFERROR(_xlfn.XLOOKUP($A32,'Raw Data'!$G:$G,'Raw Data'!AD:AD),"")</f>
        <v>0</v>
      </c>
      <c r="L32" s="133">
        <f>IFERROR(_xlfn.XLOOKUP($A32,'Raw Data'!$G:$G,'Raw Data'!AE:AE),"")</f>
        <v>44.84</v>
      </c>
      <c r="M32" s="133">
        <f>IFERROR(_xlfn.XLOOKUP($A32,'Raw Data'!$G:$G,'Raw Data'!AF:AF),"")</f>
        <v>0</v>
      </c>
      <c r="N32" s="133">
        <f>IFERROR(_xlfn.XLOOKUP($A32,'Raw Data'!$G:$G,'Raw Data'!AG:AG),"")</f>
        <v>0</v>
      </c>
      <c r="O32" s="134">
        <f>IFERROR(1-SUMIF('Plant BD'!$H:$H,$A32,'Plant BD'!$AE:$AE)/($AA32+SUMIF('Plant BD'!$H:$H,$A32,'Plant BD'!$AE:$AE)),"")</f>
        <v>1</v>
      </c>
      <c r="P32" s="134"/>
      <c r="Q32" s="135"/>
      <c r="R32" s="134">
        <f>IFERROR(1-SUMIF('Grid BD'!$H:$H,$A32,'Grid BD'!$AD:$AD)/($AA32+SUMIF('Grid BD'!$H:$H,$A32,'Grid BD'!$AD:$AD)),"")</f>
        <v>1</v>
      </c>
      <c r="T32" s="135"/>
      <c r="U32" s="136">
        <f t="shared" si="1"/>
        <v>0.79373994050326624</v>
      </c>
      <c r="V32" s="136"/>
      <c r="W32" s="137">
        <f t="shared" si="2"/>
        <v>0.20934890930773645</v>
      </c>
      <c r="X32" s="130">
        <f>IFERROR(_xlfn.XLOOKUP($A32,'Raw Data'!$G:$G,'Raw Data'!AI:AI),"")</f>
        <v>40735.300000000003</v>
      </c>
      <c r="Y32" s="130">
        <f>IFERROR(_xlfn.XLOOKUP($A32,'Raw Data'!$G:$G,'Raw Data'!AJ:AJ),"")</f>
        <v>40399.999999994179</v>
      </c>
      <c r="Z32" s="130">
        <f>IFERROR(_xlfn.XLOOKUP($A32,'Raw Data'!$G:$G,'Raw Data'!AK:AK),"")</f>
        <v>100.00000000002274</v>
      </c>
      <c r="AA32" s="130">
        <f>IFERROR(_xlfn.XLOOKUP($A32,'Raw Data'!$G:$G,'Raw Data'!AL:AL),"")</f>
        <v>40299.999999994157</v>
      </c>
      <c r="AB32" s="130">
        <f>IFERROR(_xlfn.XLOOKUP($A32,'Raw Data'!$G:$G,'Raw Data'!H:H),"")</f>
        <v>8.0208999999999993</v>
      </c>
      <c r="AC32" s="76">
        <f>IFERROR(_xlfn.XLOOKUP($D32,'Modelling New'!$D:$D,'Modelling New'!P:P),"")</f>
        <v>6.39</v>
      </c>
      <c r="AD32" s="130">
        <f>IFERROR(_xlfn.XLOOKUP($D32,'Modelling New'!$D:$D,'Modelling New'!$T:$T)*1000,"")</f>
        <v>34610.228394529106</v>
      </c>
      <c r="AE32" s="138">
        <f>IFERROR(_xlfn.XLOOKUP($D32,'Modelling New'!$D:$D,'Modelling New'!O:O),"")</f>
        <v>0.67527474134483101</v>
      </c>
      <c r="AF32" s="137">
        <f>IFERROR(_xlfn.XLOOKUP($D32,'Modelling New'!$D:$D,'Modelling New'!W:W),"")</f>
        <v>0.17979189988306124</v>
      </c>
      <c r="AG32" s="137">
        <f>IFERROR(_xlfn.XLOOKUP($D32,'Modelling New'!$D:$D,'Modelling New'!AE:AE),"")</f>
        <v>0.98040000000000005</v>
      </c>
      <c r="AH32" s="156">
        <f>IFERROR(_xlfn.XLOOKUP($D32,'Modelling New'!$D:$D,'Modelling New'!AF:AF),"")</f>
        <v>0.98</v>
      </c>
      <c r="AN32" s="134"/>
      <c r="AO32" s="137"/>
      <c r="AP32" s="137"/>
      <c r="AQ32" s="137"/>
      <c r="AR32" s="130">
        <f>'Basic Data'!$B$98/1000</f>
        <v>8.0208999999999993</v>
      </c>
    </row>
    <row r="33" spans="1:44" x14ac:dyDescent="0.3">
      <c r="A33" s="129">
        <f t="shared" si="3"/>
        <v>45776</v>
      </c>
      <c r="B33" s="130">
        <f>YEAR(Table13[[#This Row],[Date]])+IF(MONTH(Table13[[#This Row],[Date]])&gt;=4,1,0)</f>
        <v>2026</v>
      </c>
      <c r="C33" s="7">
        <f>YEAR(Table13[[#This Row],[Date]])</f>
        <v>2025</v>
      </c>
      <c r="D33" s="131">
        <f>Table13[[#This Row],[Date]]-DAY(Table13[[#This Row],[Date]])+1</f>
        <v>45748</v>
      </c>
      <c r="E33" s="7">
        <f t="shared" si="0"/>
        <v>30</v>
      </c>
      <c r="F33" s="132">
        <f>IFERROR(_xlfn.XLOOKUP($A33,'Raw Data'!$G:$G,'Raw Data'!$AM:$AM),"")</f>
        <v>12.600000000000001</v>
      </c>
      <c r="G33" s="133">
        <f>IFERROR(_xlfn.XLOOKUP($A33,'Raw Data'!$G:$G,'Raw Data'!$AB:$AB),"")</f>
        <v>0</v>
      </c>
      <c r="H33" s="133"/>
      <c r="I33" s="133">
        <f>IFERROR(_xlfn.XLOOKUP($A33,'Raw Data'!$G:$G,'Raw Data'!$AC:$AC),"")</f>
        <v>5.62</v>
      </c>
      <c r="J33" s="133"/>
      <c r="K33" s="133">
        <f>IFERROR(_xlfn.XLOOKUP($A33,'Raw Data'!$G:$G,'Raw Data'!AD:AD),"")</f>
        <v>0</v>
      </c>
      <c r="L33" s="133">
        <f>IFERROR(_xlfn.XLOOKUP($A33,'Raw Data'!$G:$G,'Raw Data'!AE:AE),"")</f>
        <v>44.35</v>
      </c>
      <c r="M33" s="133">
        <f>IFERROR(_xlfn.XLOOKUP($A33,'Raw Data'!$G:$G,'Raw Data'!AF:AF),"")</f>
        <v>0</v>
      </c>
      <c r="N33" s="133">
        <f>IFERROR(_xlfn.XLOOKUP($A33,'Raw Data'!$G:$G,'Raw Data'!AG:AG),"")</f>
        <v>0</v>
      </c>
      <c r="O33" s="134">
        <f>IFERROR(1-SUMIF('Plant BD'!$H:$H,$A33,'Plant BD'!$AE:$AE)/($AA33+SUMIF('Plant BD'!$H:$H,$A33,'Plant BD'!$AE:$AE)),"")</f>
        <v>0.99791127876342944</v>
      </c>
      <c r="P33" s="134"/>
      <c r="Q33" s="135"/>
      <c r="R33" s="134">
        <f>IFERROR(1-SUMIF('Grid BD'!$H:$H,$A33,'Grid BD'!$AD:$AD)/($AA33+SUMIF('Grid BD'!$H:$H,$A33,'Grid BD'!$AD:$AD)),"")</f>
        <v>1</v>
      </c>
      <c r="T33" s="135"/>
      <c r="U33" s="136">
        <f t="shared" si="1"/>
        <v>0.75314805905876259</v>
      </c>
      <c r="V33" s="136"/>
      <c r="W33" s="137">
        <f t="shared" si="2"/>
        <v>0.17636217049626024</v>
      </c>
      <c r="X33" s="130">
        <f>IFERROR(_xlfn.XLOOKUP($A33,'Raw Data'!$G:$G,'Raw Data'!AI:AI),"")</f>
        <v>34322.399999999994</v>
      </c>
      <c r="Y33" s="130">
        <f>IFERROR(_xlfn.XLOOKUP($A33,'Raw Data'!$G:$G,'Raw Data'!AJ:AJ),"")</f>
        <v>34050.00000000291</v>
      </c>
      <c r="Z33" s="130">
        <f>IFERROR(_xlfn.XLOOKUP($A33,'Raw Data'!$G:$G,'Raw Data'!AK:AK),"")</f>
        <v>100.00000000002274</v>
      </c>
      <c r="AA33" s="130">
        <f>IFERROR(_xlfn.XLOOKUP($A33,'Raw Data'!$G:$G,'Raw Data'!AL:AL),"")</f>
        <v>33950.000000002889</v>
      </c>
      <c r="AB33" s="130">
        <f>IFERROR(_xlfn.XLOOKUP($A33,'Raw Data'!$G:$G,'Raw Data'!H:H),"")</f>
        <v>8.0208999999999993</v>
      </c>
      <c r="AC33" s="76">
        <f>IFERROR(_xlfn.XLOOKUP($D33,'Modelling New'!$D:$D,'Modelling New'!P:P),"")</f>
        <v>6.39</v>
      </c>
      <c r="AD33" s="130">
        <f>IFERROR(_xlfn.XLOOKUP($D33,'Modelling New'!$D:$D,'Modelling New'!$T:$T)*1000,"")</f>
        <v>34610.228394529106</v>
      </c>
      <c r="AE33" s="138">
        <f>IFERROR(_xlfn.XLOOKUP($D33,'Modelling New'!$D:$D,'Modelling New'!O:O),"")</f>
        <v>0.67527474134483101</v>
      </c>
      <c r="AF33" s="137">
        <f>IFERROR(_xlfn.XLOOKUP($D33,'Modelling New'!$D:$D,'Modelling New'!W:W),"")</f>
        <v>0.17979189988306124</v>
      </c>
      <c r="AG33" s="137">
        <f>IFERROR(_xlfn.XLOOKUP($D33,'Modelling New'!$D:$D,'Modelling New'!AE:AE),"")</f>
        <v>0.98040000000000005</v>
      </c>
      <c r="AH33" s="156">
        <f>IFERROR(_xlfn.XLOOKUP($D33,'Modelling New'!$D:$D,'Modelling New'!AF:AF),"")</f>
        <v>0.98</v>
      </c>
      <c r="AN33" s="134"/>
      <c r="AO33" s="137"/>
      <c r="AP33" s="137"/>
      <c r="AQ33" s="137"/>
      <c r="AR33" s="130">
        <f>'Basic Data'!$B$98/1000</f>
        <v>8.0208999999999993</v>
      </c>
    </row>
    <row r="34" spans="1:44" x14ac:dyDescent="0.3">
      <c r="A34" s="129">
        <f t="shared" si="3"/>
        <v>45777</v>
      </c>
      <c r="B34" s="130">
        <f>YEAR(Table13[[#This Row],[Date]])+IF(MONTH(Table13[[#This Row],[Date]])&gt;=4,1,0)</f>
        <v>2026</v>
      </c>
      <c r="C34" s="7">
        <f>YEAR(Table13[[#This Row],[Date]])</f>
        <v>2025</v>
      </c>
      <c r="D34" s="131">
        <f>Table13[[#This Row],[Date]]-DAY(Table13[[#This Row],[Date]])+1</f>
        <v>45748</v>
      </c>
      <c r="E34" s="7">
        <f t="shared" si="0"/>
        <v>30</v>
      </c>
      <c r="F34" s="132">
        <f>IFERROR(_xlfn.XLOOKUP($A34,'Raw Data'!$G:$G,'Raw Data'!$AM:$AM),"")</f>
        <v>12.600000000000001</v>
      </c>
      <c r="G34" s="133">
        <f>IFERROR(_xlfn.XLOOKUP($A34,'Raw Data'!$G:$G,'Raw Data'!$AB:$AB),"")</f>
        <v>0</v>
      </c>
      <c r="H34" s="133"/>
      <c r="I34" s="133">
        <f>IFERROR(_xlfn.XLOOKUP($A34,'Raw Data'!$G:$G,'Raw Data'!$AC:$AC),"")</f>
        <v>5.77</v>
      </c>
      <c r="J34" s="133"/>
      <c r="K34" s="133">
        <f>IFERROR(_xlfn.XLOOKUP($A34,'Raw Data'!$G:$G,'Raw Data'!AD:AD),"")</f>
        <v>0</v>
      </c>
      <c r="L34" s="133">
        <f>IFERROR(_xlfn.XLOOKUP($A34,'Raw Data'!$G:$G,'Raw Data'!AE:AE),"")</f>
        <v>46.33</v>
      </c>
      <c r="M34" s="133">
        <f>IFERROR(_xlfn.XLOOKUP($A34,'Raw Data'!$G:$G,'Raw Data'!AF:AF),"")</f>
        <v>0</v>
      </c>
      <c r="N34" s="133">
        <f>IFERROR(_xlfn.XLOOKUP($A34,'Raw Data'!$G:$G,'Raw Data'!AG:AG),"")</f>
        <v>0</v>
      </c>
      <c r="O34" s="134">
        <f>IFERROR(1-SUMIF('Plant BD'!$H:$H,$A34,'Plant BD'!$AE:$AE)/($AA34+SUMIF('Plant BD'!$H:$H,$A34,'Plant BD'!$AE:$AE)),"")</f>
        <v>1</v>
      </c>
      <c r="P34" s="134"/>
      <c r="Q34" s="135"/>
      <c r="R34" s="134">
        <f>IFERROR(1-SUMIF('Grid BD'!$H:$H,$A34,'Grid BD'!$AD:$AD)/($AA34+SUMIF('Grid BD'!$H:$H,$A34,'Grid BD'!$AD:$AD)),"")</f>
        <v>1</v>
      </c>
      <c r="T34" s="135"/>
      <c r="U34" s="136">
        <f t="shared" si="1"/>
        <v>0.85673059547875796</v>
      </c>
      <c r="V34" s="136"/>
      <c r="W34" s="137">
        <f t="shared" si="2"/>
        <v>0.20597231399635138</v>
      </c>
      <c r="X34" s="130">
        <f>IFERROR(_xlfn.XLOOKUP($A34,'Raw Data'!$G:$G,'Raw Data'!AI:AI),"")</f>
        <v>40093.5</v>
      </c>
      <c r="Y34" s="130">
        <f>IFERROR(_xlfn.XLOOKUP($A34,'Raw Data'!$G:$G,'Raw Data'!AJ:AJ),"")</f>
        <v>39750</v>
      </c>
      <c r="Z34" s="130">
        <f>IFERROR(_xlfn.XLOOKUP($A34,'Raw Data'!$G:$G,'Raw Data'!AK:AK),"")</f>
        <v>99.999999999965894</v>
      </c>
      <c r="AA34" s="130">
        <f>IFERROR(_xlfn.XLOOKUP($A34,'Raw Data'!$G:$G,'Raw Data'!AL:AL),"")</f>
        <v>39650.000000000036</v>
      </c>
      <c r="AB34" s="130">
        <f>IFERROR(_xlfn.XLOOKUP($A34,'Raw Data'!$G:$G,'Raw Data'!H:H),"")</f>
        <v>8.0208999999999993</v>
      </c>
      <c r="AC34" s="76">
        <f>IFERROR(_xlfn.XLOOKUP($D34,'Modelling New'!$D:$D,'Modelling New'!P:P),"")</f>
        <v>6.39</v>
      </c>
      <c r="AD34" s="130">
        <f>IFERROR(_xlfn.XLOOKUP($D34,'Modelling New'!$D:$D,'Modelling New'!$T:$T)*1000,"")</f>
        <v>34610.228394529106</v>
      </c>
      <c r="AE34" s="138">
        <f>IFERROR(_xlfn.XLOOKUP($D34,'Modelling New'!$D:$D,'Modelling New'!O:O),"")</f>
        <v>0.67527474134483101</v>
      </c>
      <c r="AF34" s="137">
        <f>IFERROR(_xlfn.XLOOKUP($D34,'Modelling New'!$D:$D,'Modelling New'!W:W),"")</f>
        <v>0.17979189988306124</v>
      </c>
      <c r="AG34" s="137">
        <f>IFERROR(_xlfn.XLOOKUP($D34,'Modelling New'!$D:$D,'Modelling New'!AE:AE),"")</f>
        <v>0.98040000000000005</v>
      </c>
      <c r="AH34" s="156">
        <f>IFERROR(_xlfn.XLOOKUP($D34,'Modelling New'!$D:$D,'Modelling New'!AF:AF),"")</f>
        <v>0.98</v>
      </c>
      <c r="AN34" s="134"/>
      <c r="AO34" s="137"/>
      <c r="AP34" s="137"/>
      <c r="AQ34" s="137"/>
      <c r="AR34" s="130">
        <f>'Basic Data'!$B$98/1000</f>
        <v>8.0208999999999993</v>
      </c>
    </row>
    <row r="35" spans="1:44" x14ac:dyDescent="0.3">
      <c r="A35" s="129">
        <f t="shared" si="3"/>
        <v>45778</v>
      </c>
      <c r="B35" s="130">
        <f>YEAR(Table13[[#This Row],[Date]])+IF(MONTH(Table13[[#This Row],[Date]])&gt;=4,1,0)</f>
        <v>2026</v>
      </c>
      <c r="C35" s="7">
        <f>YEAR(Table13[[#This Row],[Date]])</f>
        <v>2025</v>
      </c>
      <c r="D35" s="131">
        <f>Table13[[#This Row],[Date]]-DAY(Table13[[#This Row],[Date]])+1</f>
        <v>45778</v>
      </c>
      <c r="E35" s="7">
        <f t="shared" si="0"/>
        <v>31</v>
      </c>
      <c r="F35" s="132">
        <f>IFERROR(_xlfn.XLOOKUP($A35,'Raw Data'!$G:$G,'Raw Data'!$AM:$AM),"")</f>
        <v>12.633333333333333</v>
      </c>
      <c r="G35" s="133">
        <f>IFERROR(_xlfn.XLOOKUP($A35,'Raw Data'!$G:$G,'Raw Data'!$AB:$AB),"")</f>
        <v>0</v>
      </c>
      <c r="H35" s="133"/>
      <c r="I35" s="133">
        <f>IFERROR(_xlfn.XLOOKUP($A35,'Raw Data'!$G:$G,'Raw Data'!$AC:$AC),"")</f>
        <v>5.52</v>
      </c>
      <c r="J35" s="133"/>
      <c r="K35" s="133">
        <f>IFERROR(_xlfn.XLOOKUP($A35,'Raw Data'!$G:$G,'Raw Data'!AD:AD),"")</f>
        <v>0</v>
      </c>
      <c r="L35" s="133">
        <f>IFERROR(_xlfn.XLOOKUP($A35,'Raw Data'!$G:$G,'Raw Data'!AE:AE),"")</f>
        <v>45.19</v>
      </c>
      <c r="M35" s="133">
        <f>IFERROR(_xlfn.XLOOKUP($A35,'Raw Data'!$G:$G,'Raw Data'!AF:AF),"")</f>
        <v>0</v>
      </c>
      <c r="N35" s="133">
        <f>IFERROR(_xlfn.XLOOKUP($A35,'Raw Data'!$G:$G,'Raw Data'!AG:AG),"")</f>
        <v>0</v>
      </c>
      <c r="O35" s="134">
        <f>IFERROR(1-SUMIF('Plant BD'!$H:$H,$A35,'Plant BD'!$AE:$AE)/($AA35+SUMIF('Plant BD'!$H:$H,$A35,'Plant BD'!$AE:$AE)),"")</f>
        <v>1</v>
      </c>
      <c r="P35" s="134"/>
      <c r="Q35" s="135"/>
      <c r="R35" s="134">
        <f>IFERROR(1-SUMIF('Grid BD'!$H:$H,$A35,'Grid BD'!$AD:$AD)/($AA35+SUMIF('Grid BD'!$H:$H,$A35,'Grid BD'!$AD:$AD)),"")</f>
        <v>0.95488645952592599</v>
      </c>
      <c r="T35" s="135"/>
      <c r="U35" s="136">
        <f t="shared" si="1"/>
        <v>0.84358417980844502</v>
      </c>
      <c r="V35" s="136"/>
      <c r="W35" s="137">
        <f t="shared" si="2"/>
        <v>0.19402436135594231</v>
      </c>
      <c r="X35" s="130">
        <f>IFERROR(_xlfn.XLOOKUP($A35,'Raw Data'!$G:$G,'Raw Data'!AI:AI),"")</f>
        <v>37802.400000000001</v>
      </c>
      <c r="Y35" s="130">
        <f>IFERROR(_xlfn.XLOOKUP($A35,'Raw Data'!$G:$G,'Raw Data'!AJ:AJ),"")</f>
        <v>37449.99999999709</v>
      </c>
      <c r="Z35" s="130">
        <f>IFERROR(_xlfn.XLOOKUP($A35,'Raw Data'!$G:$G,'Raw Data'!AK:AK),"")</f>
        <v>100.00000000002274</v>
      </c>
      <c r="AA35" s="130">
        <f>IFERROR(_xlfn.XLOOKUP($A35,'Raw Data'!$G:$G,'Raw Data'!AL:AL),"")</f>
        <v>37349.999999997068</v>
      </c>
      <c r="AB35" s="130">
        <f>IFERROR(_xlfn.XLOOKUP($A35,'Raw Data'!$G:$G,'Raw Data'!H:H),"")</f>
        <v>8.0208999999999993</v>
      </c>
      <c r="AC35" s="76">
        <f>IFERROR(_xlfn.XLOOKUP($D35,'Modelling New'!$D:$D,'Modelling New'!P:P),"")</f>
        <v>6.0129032258064514</v>
      </c>
      <c r="AD35" s="130">
        <f>IFERROR(_xlfn.XLOOKUP($D35,'Modelling New'!$D:$D,'Modelling New'!$T:$T)*1000,"")</f>
        <v>33577.74455581214</v>
      </c>
      <c r="AE35" s="138">
        <f>IFERROR(_xlfn.XLOOKUP($D35,'Modelling New'!$D:$D,'Modelling New'!O:O),"")</f>
        <v>0.69621632879901718</v>
      </c>
      <c r="AF35" s="137">
        <f>IFERROR(_xlfn.XLOOKUP($D35,'Modelling New'!$D:$D,'Modelling New'!W:W),"")</f>
        <v>0.17442839205394728</v>
      </c>
      <c r="AG35" s="137">
        <f>IFERROR(_xlfn.XLOOKUP($D35,'Modelling New'!$D:$D,'Modelling New'!AE:AE),"")</f>
        <v>0.98040000000000005</v>
      </c>
      <c r="AH35" s="156">
        <f>IFERROR(_xlfn.XLOOKUP($D35,'Modelling New'!$D:$D,'Modelling New'!AF:AF),"")</f>
        <v>0.98</v>
      </c>
      <c r="AN35" s="134"/>
      <c r="AO35" s="137"/>
      <c r="AP35" s="137"/>
      <c r="AQ35" s="137"/>
      <c r="AR35" s="130">
        <f>'Basic Data'!$B$98/1000</f>
        <v>8.0208999999999993</v>
      </c>
    </row>
    <row r="36" spans="1:44" x14ac:dyDescent="0.3">
      <c r="A36" s="129">
        <f t="shared" si="3"/>
        <v>45779</v>
      </c>
      <c r="B36" s="130">
        <f>YEAR(Table13[[#This Row],[Date]])+IF(MONTH(Table13[[#This Row],[Date]])&gt;=4,1,0)</f>
        <v>2026</v>
      </c>
      <c r="C36" s="7">
        <f>YEAR(Table13[[#This Row],[Date]])</f>
        <v>2025</v>
      </c>
      <c r="D36" s="131">
        <f>Table13[[#This Row],[Date]]-DAY(Table13[[#This Row],[Date]])+1</f>
        <v>45778</v>
      </c>
      <c r="E36" s="7">
        <f t="shared" si="0"/>
        <v>31</v>
      </c>
      <c r="F36" s="132">
        <f>IFERROR(_xlfn.XLOOKUP($A36,'Raw Data'!$G:$G,'Raw Data'!$AM:$AM),"")</f>
        <v>12.600000000000001</v>
      </c>
      <c r="G36" s="133">
        <f>IFERROR(_xlfn.XLOOKUP($A36,'Raw Data'!$G:$G,'Raw Data'!$AB:$AB),"")</f>
        <v>0</v>
      </c>
      <c r="H36" s="133"/>
      <c r="I36" s="133">
        <f>IFERROR(_xlfn.XLOOKUP($A36,'Raw Data'!$G:$G,'Raw Data'!$AC:$AC),"")</f>
        <v>6.17</v>
      </c>
      <c r="J36" s="133"/>
      <c r="K36" s="133">
        <f>IFERROR(_xlfn.XLOOKUP($A36,'Raw Data'!$G:$G,'Raw Data'!AD:AD),"")</f>
        <v>0</v>
      </c>
      <c r="L36" s="133">
        <f>IFERROR(_xlfn.XLOOKUP($A36,'Raw Data'!$G:$G,'Raw Data'!AE:AE),"")</f>
        <v>45.19</v>
      </c>
      <c r="M36" s="133">
        <f>IFERROR(_xlfn.XLOOKUP($A36,'Raw Data'!$G:$G,'Raw Data'!AF:AF),"")</f>
        <v>0</v>
      </c>
      <c r="N36" s="133">
        <f>IFERROR(_xlfn.XLOOKUP($A36,'Raw Data'!$G:$G,'Raw Data'!AG:AG),"")</f>
        <v>0</v>
      </c>
      <c r="O36" s="134">
        <f>IFERROR(1-SUMIF('Plant BD'!$H:$H,$A36,'Plant BD'!$AE:$AE)/($AA36+SUMIF('Plant BD'!$H:$H,$A36,'Plant BD'!$AE:$AE)),"")</f>
        <v>1</v>
      </c>
      <c r="P36" s="134"/>
      <c r="Q36" s="135"/>
      <c r="R36" s="134">
        <f>IFERROR(1-SUMIF('Grid BD'!$H:$H,$A36,'Grid BD'!$AD:$AD)/($AA36+SUMIF('Grid BD'!$H:$H,$A36,'Grid BD'!$AD:$AD)),"")</f>
        <v>0.89555939982185195</v>
      </c>
      <c r="T36" s="135"/>
      <c r="U36" s="136">
        <f t="shared" si="1"/>
        <v>0.62539209508034943</v>
      </c>
      <c r="V36" s="136"/>
      <c r="W36" s="137">
        <f t="shared" si="2"/>
        <v>0.16077788444357316</v>
      </c>
      <c r="X36" s="130">
        <f>IFERROR(_xlfn.XLOOKUP($A36,'Raw Data'!$G:$G,'Raw Data'!AI:AI),"")</f>
        <v>31347.7</v>
      </c>
      <c r="Y36" s="130">
        <f>IFERROR(_xlfn.XLOOKUP($A36,'Raw Data'!$G:$G,'Raw Data'!AJ:AJ),"")</f>
        <v>31050.00000000291</v>
      </c>
      <c r="Z36" s="130">
        <f>IFERROR(_xlfn.XLOOKUP($A36,'Raw Data'!$G:$G,'Raw Data'!AK:AK),"")</f>
        <v>99.999999999965894</v>
      </c>
      <c r="AA36" s="130">
        <f>IFERROR(_xlfn.XLOOKUP($A36,'Raw Data'!$G:$G,'Raw Data'!AL:AL),"")</f>
        <v>30950.000000002943</v>
      </c>
      <c r="AB36" s="130">
        <f>IFERROR(_xlfn.XLOOKUP($A36,'Raw Data'!$G:$G,'Raw Data'!H:H),"")</f>
        <v>8.0208999999999993</v>
      </c>
      <c r="AC36" s="76">
        <f>IFERROR(_xlfn.XLOOKUP($D36,'Modelling New'!$D:$D,'Modelling New'!P:P),"")</f>
        <v>6.0129032258064514</v>
      </c>
      <c r="AD36" s="130">
        <f>IFERROR(_xlfn.XLOOKUP($D36,'Modelling New'!$D:$D,'Modelling New'!$T:$T)*1000,"")</f>
        <v>33577.74455581214</v>
      </c>
      <c r="AE36" s="138">
        <f>IFERROR(_xlfn.XLOOKUP($D36,'Modelling New'!$D:$D,'Modelling New'!O:O),"")</f>
        <v>0.69621632879901718</v>
      </c>
      <c r="AF36" s="137">
        <f>IFERROR(_xlfn.XLOOKUP($D36,'Modelling New'!$D:$D,'Modelling New'!W:W),"")</f>
        <v>0.17442839205394728</v>
      </c>
      <c r="AG36" s="137">
        <f>IFERROR(_xlfn.XLOOKUP($D36,'Modelling New'!$D:$D,'Modelling New'!AE:AE),"")</f>
        <v>0.98040000000000005</v>
      </c>
      <c r="AH36" s="156">
        <f>IFERROR(_xlfn.XLOOKUP($D36,'Modelling New'!$D:$D,'Modelling New'!AF:AF),"")</f>
        <v>0.98</v>
      </c>
      <c r="AN36" s="134"/>
      <c r="AO36" s="137"/>
      <c r="AP36" s="137"/>
      <c r="AQ36" s="137"/>
      <c r="AR36" s="130">
        <f>'Basic Data'!$B$98/1000</f>
        <v>8.0208999999999993</v>
      </c>
    </row>
    <row r="37" spans="1:44" x14ac:dyDescent="0.3">
      <c r="A37" s="129">
        <f t="shared" si="3"/>
        <v>45780</v>
      </c>
      <c r="B37" s="130">
        <f>YEAR(Table13[[#This Row],[Date]])+IF(MONTH(Table13[[#This Row],[Date]])&gt;=4,1,0)</f>
        <v>2026</v>
      </c>
      <c r="C37" s="7">
        <f>YEAR(Table13[[#This Row],[Date]])</f>
        <v>2025</v>
      </c>
      <c r="D37" s="131">
        <f>Table13[[#This Row],[Date]]-DAY(Table13[[#This Row],[Date]])+1</f>
        <v>45778</v>
      </c>
      <c r="E37" s="7">
        <f t="shared" si="0"/>
        <v>31</v>
      </c>
      <c r="F37" s="132">
        <f>IFERROR(_xlfn.XLOOKUP($A37,'Raw Data'!$G:$G,'Raw Data'!$AM:$AM),"")</f>
        <v>12.583333333333334</v>
      </c>
      <c r="G37" s="133">
        <f>IFERROR(_xlfn.XLOOKUP($A37,'Raw Data'!$G:$G,'Raw Data'!$AB:$AB),"")</f>
        <v>0</v>
      </c>
      <c r="H37" s="133"/>
      <c r="I37" s="133">
        <f>IFERROR(_xlfn.XLOOKUP($A37,'Raw Data'!$G:$G,'Raw Data'!$AC:$AC),"")</f>
        <v>5.93</v>
      </c>
      <c r="J37" s="133"/>
      <c r="K37" s="133">
        <f>IFERROR(_xlfn.XLOOKUP($A37,'Raw Data'!$G:$G,'Raw Data'!AD:AD),"")</f>
        <v>0</v>
      </c>
      <c r="L37" s="133">
        <f>IFERROR(_xlfn.XLOOKUP($A37,'Raw Data'!$G:$G,'Raw Data'!AE:AE),"")</f>
        <v>45.51</v>
      </c>
      <c r="M37" s="133">
        <f>IFERROR(_xlfn.XLOOKUP($A37,'Raw Data'!$G:$G,'Raw Data'!AF:AF),"")</f>
        <v>0</v>
      </c>
      <c r="N37" s="133">
        <f>IFERROR(_xlfn.XLOOKUP($A37,'Raw Data'!$G:$G,'Raw Data'!AG:AG),"")</f>
        <v>0</v>
      </c>
      <c r="O37" s="134">
        <f>IFERROR(1-SUMIF('Plant BD'!$H:$H,$A37,'Plant BD'!$AE:$AE)/($AA37+SUMIF('Plant BD'!$H:$H,$A37,'Plant BD'!$AE:$AE)),"")</f>
        <v>1</v>
      </c>
      <c r="P37" s="134"/>
      <c r="Q37" s="135"/>
      <c r="R37" s="134">
        <f>IFERROR(1-SUMIF('Grid BD'!$H:$H,$A37,'Grid BD'!$AD:$AD)/($AA37+SUMIF('Grid BD'!$H:$H,$A37,'Grid BD'!$AD:$AD)),"")</f>
        <v>1</v>
      </c>
      <c r="T37" s="135"/>
      <c r="U37" s="136">
        <f t="shared" si="1"/>
        <v>0.80418069681670401</v>
      </c>
      <c r="V37" s="136"/>
      <c r="W37" s="137">
        <f t="shared" si="2"/>
        <v>0.19869964717179389</v>
      </c>
      <c r="X37" s="130">
        <f>IFERROR(_xlfn.XLOOKUP($A37,'Raw Data'!$G:$G,'Raw Data'!AI:AI),"")</f>
        <v>38672.899999999994</v>
      </c>
      <c r="Y37" s="130">
        <f>IFERROR(_xlfn.XLOOKUP($A37,'Raw Data'!$G:$G,'Raw Data'!AJ:AJ),"")</f>
        <v>38350.000000005821</v>
      </c>
      <c r="Z37" s="130">
        <f>IFERROR(_xlfn.XLOOKUP($A37,'Raw Data'!$G:$G,'Raw Data'!AK:AK),"")</f>
        <v>100.00000000002274</v>
      </c>
      <c r="AA37" s="130">
        <f>IFERROR(_xlfn.XLOOKUP($A37,'Raw Data'!$G:$G,'Raw Data'!AL:AL),"")</f>
        <v>38250.000000005799</v>
      </c>
      <c r="AB37" s="130">
        <f>IFERROR(_xlfn.XLOOKUP($A37,'Raw Data'!$G:$G,'Raw Data'!H:H),"")</f>
        <v>8.0208999999999993</v>
      </c>
      <c r="AC37" s="76">
        <f>IFERROR(_xlfn.XLOOKUP($D37,'Modelling New'!$D:$D,'Modelling New'!P:P),"")</f>
        <v>6.0129032258064514</v>
      </c>
      <c r="AD37" s="130">
        <f>IFERROR(_xlfn.XLOOKUP($D37,'Modelling New'!$D:$D,'Modelling New'!$T:$T)*1000,"")</f>
        <v>33577.74455581214</v>
      </c>
      <c r="AE37" s="138">
        <f>IFERROR(_xlfn.XLOOKUP($D37,'Modelling New'!$D:$D,'Modelling New'!O:O),"")</f>
        <v>0.69621632879901718</v>
      </c>
      <c r="AF37" s="137">
        <f>IFERROR(_xlfn.XLOOKUP($D37,'Modelling New'!$D:$D,'Modelling New'!W:W),"")</f>
        <v>0.17442839205394728</v>
      </c>
      <c r="AG37" s="137">
        <f>IFERROR(_xlfn.XLOOKUP($D37,'Modelling New'!$D:$D,'Modelling New'!AE:AE),"")</f>
        <v>0.98040000000000005</v>
      </c>
      <c r="AH37" s="156">
        <f>IFERROR(_xlfn.XLOOKUP($D37,'Modelling New'!$D:$D,'Modelling New'!AF:AF),"")</f>
        <v>0.98</v>
      </c>
      <c r="AN37" s="134"/>
      <c r="AO37" s="137"/>
      <c r="AP37" s="137"/>
      <c r="AQ37" s="137"/>
      <c r="AR37" s="130">
        <f>'Basic Data'!$B$98/1000</f>
        <v>8.0208999999999993</v>
      </c>
    </row>
    <row r="38" spans="1:44" x14ac:dyDescent="0.3">
      <c r="A38" s="129">
        <f t="shared" si="3"/>
        <v>45781</v>
      </c>
      <c r="B38" s="130">
        <f>YEAR(Table13[[#This Row],[Date]])+IF(MONTH(Table13[[#This Row],[Date]])&gt;=4,1,0)</f>
        <v>2026</v>
      </c>
      <c r="C38" s="7">
        <f>YEAR(Table13[[#This Row],[Date]])</f>
        <v>2025</v>
      </c>
      <c r="D38" s="131">
        <f>Table13[[#This Row],[Date]]-DAY(Table13[[#This Row],[Date]])+1</f>
        <v>45778</v>
      </c>
      <c r="E38" s="7">
        <f t="shared" si="0"/>
        <v>31</v>
      </c>
      <c r="F38" s="132">
        <f>IFERROR(_xlfn.XLOOKUP($A38,'Raw Data'!$G:$G,'Raw Data'!$AM:$AM),"")</f>
        <v>12.716666666666667</v>
      </c>
      <c r="G38" s="133">
        <f>IFERROR(_xlfn.XLOOKUP($A38,'Raw Data'!$G:$G,'Raw Data'!$AB:$AB),"")</f>
        <v>0</v>
      </c>
      <c r="H38" s="133"/>
      <c r="I38" s="133">
        <f>IFERROR(_xlfn.XLOOKUP($A38,'Raw Data'!$G:$G,'Raw Data'!$AC:$AC),"")</f>
        <v>5.27</v>
      </c>
      <c r="J38" s="133"/>
      <c r="K38" s="133">
        <f>IFERROR(_xlfn.XLOOKUP($A38,'Raw Data'!$G:$G,'Raw Data'!AD:AD),"")</f>
        <v>0</v>
      </c>
      <c r="L38" s="133">
        <f>IFERROR(_xlfn.XLOOKUP($A38,'Raw Data'!$G:$G,'Raw Data'!AE:AE),"")</f>
        <v>42.88</v>
      </c>
      <c r="M38" s="133">
        <f>IFERROR(_xlfn.XLOOKUP($A38,'Raw Data'!$G:$G,'Raw Data'!AF:AF),"")</f>
        <v>0</v>
      </c>
      <c r="N38" s="133">
        <f>IFERROR(_xlfn.XLOOKUP($A38,'Raw Data'!$G:$G,'Raw Data'!AG:AG),"")</f>
        <v>0</v>
      </c>
      <c r="O38" s="134">
        <f>IFERROR(1-SUMIF('Plant BD'!$H:$H,$A38,'Plant BD'!$AE:$AE)/($AA38+SUMIF('Plant BD'!$H:$H,$A38,'Plant BD'!$AE:$AE)),"")</f>
        <v>1</v>
      </c>
      <c r="P38" s="134"/>
      <c r="Q38" s="135"/>
      <c r="R38" s="134">
        <f>IFERROR(1-SUMIF('Grid BD'!$H:$H,$A38,'Grid BD'!$AD:$AD)/($AA38+SUMIF('Grid BD'!$H:$H,$A38,'Grid BD'!$AD:$AD)),"")</f>
        <v>0.49001336039343768</v>
      </c>
      <c r="T38" s="135"/>
      <c r="U38" s="136">
        <f t="shared" si="1"/>
        <v>0.48497588475135395</v>
      </c>
      <c r="V38" s="136"/>
      <c r="W38" s="137">
        <f t="shared" si="2"/>
        <v>0.10649262135998479</v>
      </c>
      <c r="X38" s="130">
        <f>IFERROR(_xlfn.XLOOKUP($A38,'Raw Data'!$G:$G,'Raw Data'!AI:AI),"")</f>
        <v>20778</v>
      </c>
      <c r="Y38" s="130">
        <f>IFERROR(_xlfn.XLOOKUP($A38,'Raw Data'!$G:$G,'Raw Data'!AJ:AJ),"")</f>
        <v>20599.999999991269</v>
      </c>
      <c r="Z38" s="130">
        <f>IFERROR(_xlfn.XLOOKUP($A38,'Raw Data'!$G:$G,'Raw Data'!AK:AK),"")</f>
        <v>100.00000000002274</v>
      </c>
      <c r="AA38" s="130">
        <f>IFERROR(_xlfn.XLOOKUP($A38,'Raw Data'!$G:$G,'Raw Data'!AL:AL),"")</f>
        <v>20499.999999991247</v>
      </c>
      <c r="AB38" s="130">
        <f>IFERROR(_xlfn.XLOOKUP($A38,'Raw Data'!$G:$G,'Raw Data'!H:H),"")</f>
        <v>8.0208999999999993</v>
      </c>
      <c r="AC38" s="76">
        <f>IFERROR(_xlfn.XLOOKUP($D38,'Modelling New'!$D:$D,'Modelling New'!P:P),"")</f>
        <v>6.0129032258064514</v>
      </c>
      <c r="AD38" s="130">
        <f>IFERROR(_xlfn.XLOOKUP($D38,'Modelling New'!$D:$D,'Modelling New'!$T:$T)*1000,"")</f>
        <v>33577.74455581214</v>
      </c>
      <c r="AE38" s="138">
        <f>IFERROR(_xlfn.XLOOKUP($D38,'Modelling New'!$D:$D,'Modelling New'!O:O),"")</f>
        <v>0.69621632879901718</v>
      </c>
      <c r="AF38" s="137">
        <f>IFERROR(_xlfn.XLOOKUP($D38,'Modelling New'!$D:$D,'Modelling New'!W:W),"")</f>
        <v>0.17442839205394728</v>
      </c>
      <c r="AG38" s="137">
        <f>IFERROR(_xlfn.XLOOKUP($D38,'Modelling New'!$D:$D,'Modelling New'!AE:AE),"")</f>
        <v>0.98040000000000005</v>
      </c>
      <c r="AH38" s="156">
        <f>IFERROR(_xlfn.XLOOKUP($D38,'Modelling New'!$D:$D,'Modelling New'!AF:AF),"")</f>
        <v>0.98</v>
      </c>
      <c r="AN38" s="134"/>
      <c r="AO38" s="137"/>
      <c r="AP38" s="137"/>
      <c r="AQ38" s="137"/>
      <c r="AR38" s="130">
        <f>'Basic Data'!$B$98/1000</f>
        <v>8.0208999999999993</v>
      </c>
    </row>
    <row r="39" spans="1:44" x14ac:dyDescent="0.3">
      <c r="A39" s="129">
        <f t="shared" si="3"/>
        <v>45782</v>
      </c>
      <c r="B39" s="130">
        <f>YEAR(Table13[[#This Row],[Date]])+IF(MONTH(Table13[[#This Row],[Date]])&gt;=4,1,0)</f>
        <v>2026</v>
      </c>
      <c r="C39" s="7">
        <f>YEAR(Table13[[#This Row],[Date]])</f>
        <v>2025</v>
      </c>
      <c r="D39" s="131">
        <f>Table13[[#This Row],[Date]]-DAY(Table13[[#This Row],[Date]])+1</f>
        <v>45778</v>
      </c>
      <c r="E39" s="7">
        <f t="shared" si="0"/>
        <v>31</v>
      </c>
      <c r="F39" s="132">
        <f>IFERROR(_xlfn.XLOOKUP($A39,'Raw Data'!$G:$G,'Raw Data'!$AM:$AM),"")</f>
        <v>12.316666666666668</v>
      </c>
      <c r="G39" s="133">
        <f>IFERROR(_xlfn.XLOOKUP($A39,'Raw Data'!$G:$G,'Raw Data'!$AB:$AB),"")</f>
        <v>0</v>
      </c>
      <c r="H39" s="133"/>
      <c r="I39" s="133">
        <f>IFERROR(_xlfn.XLOOKUP($A39,'Raw Data'!$G:$G,'Raw Data'!$AC:$AC),"")</f>
        <v>6.52</v>
      </c>
      <c r="J39" s="133"/>
      <c r="K39" s="133">
        <f>IFERROR(_xlfn.XLOOKUP($A39,'Raw Data'!$G:$G,'Raw Data'!AD:AD),"")</f>
        <v>0</v>
      </c>
      <c r="L39" s="133">
        <f>IFERROR(_xlfn.XLOOKUP($A39,'Raw Data'!$G:$G,'Raw Data'!AE:AE),"")</f>
        <v>45.43</v>
      </c>
      <c r="M39" s="133">
        <f>IFERROR(_xlfn.XLOOKUP($A39,'Raw Data'!$G:$G,'Raw Data'!AF:AF),"")</f>
        <v>0</v>
      </c>
      <c r="N39" s="133">
        <f>IFERROR(_xlfn.XLOOKUP($A39,'Raw Data'!$G:$G,'Raw Data'!AG:AG),"")</f>
        <v>0</v>
      </c>
      <c r="O39" s="134">
        <f>IFERROR(1-SUMIF('Plant BD'!$H:$H,$A39,'Plant BD'!$AE:$AE)/($AA39+SUMIF('Plant BD'!$H:$H,$A39,'Plant BD'!$AE:$AE)),"")</f>
        <v>1</v>
      </c>
      <c r="P39" s="134"/>
      <c r="Q39" s="135"/>
      <c r="R39" s="134">
        <f>IFERROR(1-SUMIF('Grid BD'!$H:$H,$A39,'Grid BD'!$AD:$AD)/($AA39+SUMIF('Grid BD'!$H:$H,$A39,'Grid BD'!$AD:$AD)),"")</f>
        <v>1</v>
      </c>
      <c r="T39" s="135"/>
      <c r="U39" s="136">
        <f t="shared" si="1"/>
        <v>0.7725216644522328</v>
      </c>
      <c r="V39" s="136"/>
      <c r="W39" s="137">
        <f t="shared" si="2"/>
        <v>0.20986838550952322</v>
      </c>
      <c r="X39" s="130">
        <f>IFERROR(_xlfn.XLOOKUP($A39,'Raw Data'!$G:$G,'Raw Data'!AI:AI),"")</f>
        <v>40864.5</v>
      </c>
      <c r="Y39" s="130">
        <f>IFERROR(_xlfn.XLOOKUP($A39,'Raw Data'!$G:$G,'Raw Data'!AJ:AJ),"")</f>
        <v>40500</v>
      </c>
      <c r="Z39" s="130">
        <f>IFERROR(_xlfn.XLOOKUP($A39,'Raw Data'!$G:$G,'Raw Data'!AK:AK),"")</f>
        <v>99.999999999965894</v>
      </c>
      <c r="AA39" s="130">
        <f>IFERROR(_xlfn.XLOOKUP($A39,'Raw Data'!$G:$G,'Raw Data'!AL:AL),"")</f>
        <v>40400.000000000036</v>
      </c>
      <c r="AB39" s="130">
        <f>IFERROR(_xlfn.XLOOKUP($A39,'Raw Data'!$G:$G,'Raw Data'!H:H),"")</f>
        <v>8.0208999999999993</v>
      </c>
      <c r="AC39" s="76">
        <f>IFERROR(_xlfn.XLOOKUP($D39,'Modelling New'!$D:$D,'Modelling New'!P:P),"")</f>
        <v>6.0129032258064514</v>
      </c>
      <c r="AD39" s="130">
        <f>IFERROR(_xlfn.XLOOKUP($D39,'Modelling New'!$D:$D,'Modelling New'!$T:$T)*1000,"")</f>
        <v>33577.74455581214</v>
      </c>
      <c r="AE39" s="138">
        <f>IFERROR(_xlfn.XLOOKUP($D39,'Modelling New'!$D:$D,'Modelling New'!O:O),"")</f>
        <v>0.69621632879901718</v>
      </c>
      <c r="AF39" s="137">
        <f>IFERROR(_xlfn.XLOOKUP($D39,'Modelling New'!$D:$D,'Modelling New'!W:W),"")</f>
        <v>0.17442839205394728</v>
      </c>
      <c r="AG39" s="137">
        <f>IFERROR(_xlfn.XLOOKUP($D39,'Modelling New'!$D:$D,'Modelling New'!AE:AE),"")</f>
        <v>0.98040000000000005</v>
      </c>
      <c r="AH39" s="156">
        <f>IFERROR(_xlfn.XLOOKUP($D39,'Modelling New'!$D:$D,'Modelling New'!AF:AF),"")</f>
        <v>0.98</v>
      </c>
      <c r="AN39" s="134"/>
      <c r="AO39" s="137"/>
      <c r="AP39" s="137"/>
      <c r="AQ39" s="137"/>
      <c r="AR39" s="130">
        <f>'Basic Data'!$B$98/1000</f>
        <v>8.0208999999999993</v>
      </c>
    </row>
    <row r="40" spans="1:44" x14ac:dyDescent="0.3">
      <c r="A40" s="129">
        <f t="shared" si="3"/>
        <v>45783</v>
      </c>
      <c r="B40" s="130">
        <f>YEAR(Table13[[#This Row],[Date]])+IF(MONTH(Table13[[#This Row],[Date]])&gt;=4,1,0)</f>
        <v>2026</v>
      </c>
      <c r="C40" s="7">
        <f>YEAR(Table13[[#This Row],[Date]])</f>
        <v>2025</v>
      </c>
      <c r="D40" s="131">
        <f>Table13[[#This Row],[Date]]-DAY(Table13[[#This Row],[Date]])+1</f>
        <v>45778</v>
      </c>
      <c r="E40" s="7">
        <f t="shared" si="0"/>
        <v>31</v>
      </c>
      <c r="F40" s="132">
        <f>IFERROR(_xlfn.XLOOKUP($A40,'Raw Data'!$G:$G,'Raw Data'!$AM:$AM),"")</f>
        <v>12.5</v>
      </c>
      <c r="G40" s="133">
        <f>IFERROR(_xlfn.XLOOKUP($A40,'Raw Data'!$G:$G,'Raw Data'!$AB:$AB),"")</f>
        <v>0</v>
      </c>
      <c r="H40" s="133"/>
      <c r="I40" s="133">
        <f>IFERROR(_xlfn.XLOOKUP($A40,'Raw Data'!$G:$G,'Raw Data'!$AC:$AC),"")</f>
        <v>6.2</v>
      </c>
      <c r="J40" s="133"/>
      <c r="K40" s="133">
        <f>IFERROR(_xlfn.XLOOKUP($A40,'Raw Data'!$G:$G,'Raw Data'!AD:AD),"")</f>
        <v>0</v>
      </c>
      <c r="L40" s="133">
        <f>IFERROR(_xlfn.XLOOKUP($A40,'Raw Data'!$G:$G,'Raw Data'!AE:AE),"")</f>
        <v>44.26</v>
      </c>
      <c r="M40" s="133">
        <f>IFERROR(_xlfn.XLOOKUP($A40,'Raw Data'!$G:$G,'Raw Data'!AF:AF),"")</f>
        <v>0</v>
      </c>
      <c r="N40" s="133">
        <f>IFERROR(_xlfn.XLOOKUP($A40,'Raw Data'!$G:$G,'Raw Data'!AG:AG),"")</f>
        <v>0</v>
      </c>
      <c r="O40" s="134">
        <f>IFERROR(1-SUMIF('Plant BD'!$H:$H,$A40,'Plant BD'!$AE:$AE)/($AA40+SUMIF('Plant BD'!$H:$H,$A40,'Plant BD'!$AE:$AE)),"")</f>
        <v>1</v>
      </c>
      <c r="P40" s="134"/>
      <c r="Q40" s="135"/>
      <c r="R40" s="134">
        <f>IFERROR(1-SUMIF('Grid BD'!$H:$H,$A40,'Grid BD'!$AD:$AD)/($AA40+SUMIF('Grid BD'!$H:$H,$A40,'Grid BD'!$AD:$AD)),"")</f>
        <v>1</v>
      </c>
      <c r="T40" s="135"/>
      <c r="U40" s="136">
        <f t="shared" si="1"/>
        <v>0.77519255139513976</v>
      </c>
      <c r="V40" s="136"/>
      <c r="W40" s="137">
        <f t="shared" si="2"/>
        <v>0.20025807577707774</v>
      </c>
      <c r="X40" s="130">
        <f>IFERROR(_xlfn.XLOOKUP($A40,'Raw Data'!$G:$G,'Raw Data'!AI:AI),"")</f>
        <v>38984.699999999997</v>
      </c>
      <c r="Y40" s="130">
        <f>IFERROR(_xlfn.XLOOKUP($A40,'Raw Data'!$G:$G,'Raw Data'!AJ:AJ),"")</f>
        <v>38650.000000008731</v>
      </c>
      <c r="Z40" s="130">
        <f>IFERROR(_xlfn.XLOOKUP($A40,'Raw Data'!$G:$G,'Raw Data'!AK:AK),"")</f>
        <v>100.00000000002274</v>
      </c>
      <c r="AA40" s="130">
        <f>IFERROR(_xlfn.XLOOKUP($A40,'Raw Data'!$G:$G,'Raw Data'!AL:AL),"")</f>
        <v>38550.000000008709</v>
      </c>
      <c r="AB40" s="130">
        <f>IFERROR(_xlfn.XLOOKUP($A40,'Raw Data'!$G:$G,'Raw Data'!H:H),"")</f>
        <v>8.0208999999999993</v>
      </c>
      <c r="AC40" s="76">
        <f>IFERROR(_xlfn.XLOOKUP($D40,'Modelling New'!$D:$D,'Modelling New'!P:P),"")</f>
        <v>6.0129032258064514</v>
      </c>
      <c r="AD40" s="130">
        <f>IFERROR(_xlfn.XLOOKUP($D40,'Modelling New'!$D:$D,'Modelling New'!$T:$T)*1000,"")</f>
        <v>33577.74455581214</v>
      </c>
      <c r="AE40" s="138">
        <f>IFERROR(_xlfn.XLOOKUP($D40,'Modelling New'!$D:$D,'Modelling New'!O:O),"")</f>
        <v>0.69621632879901718</v>
      </c>
      <c r="AF40" s="137">
        <f>IFERROR(_xlfn.XLOOKUP($D40,'Modelling New'!$D:$D,'Modelling New'!W:W),"")</f>
        <v>0.17442839205394728</v>
      </c>
      <c r="AG40" s="137">
        <f>IFERROR(_xlfn.XLOOKUP($D40,'Modelling New'!$D:$D,'Modelling New'!AE:AE),"")</f>
        <v>0.98040000000000005</v>
      </c>
      <c r="AH40" s="156">
        <f>IFERROR(_xlfn.XLOOKUP($D40,'Modelling New'!$D:$D,'Modelling New'!AF:AF),"")</f>
        <v>0.98</v>
      </c>
      <c r="AN40" s="134"/>
      <c r="AO40" s="137"/>
      <c r="AP40" s="137"/>
      <c r="AQ40" s="137"/>
      <c r="AR40" s="130">
        <f>'Basic Data'!$B$98/1000</f>
        <v>8.0208999999999993</v>
      </c>
    </row>
    <row r="41" spans="1:44" x14ac:dyDescent="0.3">
      <c r="A41" s="129">
        <f t="shared" si="3"/>
        <v>45784</v>
      </c>
      <c r="B41" s="130">
        <f>YEAR(Table13[[#This Row],[Date]])+IF(MONTH(Table13[[#This Row],[Date]])&gt;=4,1,0)</f>
        <v>2026</v>
      </c>
      <c r="C41" s="7">
        <f>YEAR(Table13[[#This Row],[Date]])</f>
        <v>2025</v>
      </c>
      <c r="D41" s="131">
        <f>Table13[[#This Row],[Date]]-DAY(Table13[[#This Row],[Date]])+1</f>
        <v>45778</v>
      </c>
      <c r="E41" s="7">
        <f t="shared" si="0"/>
        <v>31</v>
      </c>
      <c r="F41" s="132">
        <f>IFERROR(_xlfn.XLOOKUP($A41,'Raw Data'!$G:$G,'Raw Data'!$AM:$AM),"")</f>
        <v>12.766666666666666</v>
      </c>
      <c r="G41" s="133">
        <f>IFERROR(_xlfn.XLOOKUP($A41,'Raw Data'!$G:$G,'Raw Data'!$AB:$AB),"")</f>
        <v>0</v>
      </c>
      <c r="H41" s="133"/>
      <c r="I41" s="133">
        <f>IFERROR(_xlfn.XLOOKUP($A41,'Raw Data'!$G:$G,'Raw Data'!$AC:$AC),"")</f>
        <v>6.58</v>
      </c>
      <c r="J41" s="133"/>
      <c r="K41" s="133">
        <f>IFERROR(_xlfn.XLOOKUP($A41,'Raw Data'!$G:$G,'Raw Data'!AD:AD),"")</f>
        <v>0</v>
      </c>
      <c r="L41" s="133">
        <f>IFERROR(_xlfn.XLOOKUP($A41,'Raw Data'!$G:$G,'Raw Data'!AE:AE),"")</f>
        <v>43.99</v>
      </c>
      <c r="M41" s="133">
        <f>IFERROR(_xlfn.XLOOKUP($A41,'Raw Data'!$G:$G,'Raw Data'!AF:AF),"")</f>
        <v>0</v>
      </c>
      <c r="N41" s="133">
        <f>IFERROR(_xlfn.XLOOKUP($A41,'Raw Data'!$G:$G,'Raw Data'!AG:AG),"")</f>
        <v>0</v>
      </c>
      <c r="O41" s="134">
        <f>IFERROR(1-SUMIF('Plant BD'!$H:$H,$A41,'Plant BD'!$AE:$AE)/($AA41+SUMIF('Plant BD'!$H:$H,$A41,'Plant BD'!$AE:$AE)),"")</f>
        <v>1</v>
      </c>
      <c r="P41" s="134"/>
      <c r="Q41" s="135"/>
      <c r="R41" s="134">
        <f>IFERROR(1-SUMIF('Grid BD'!$H:$H,$A41,'Grid BD'!$AD:$AD)/($AA41+SUMIF('Grid BD'!$H:$H,$A41,'Grid BD'!$AD:$AD)),"")</f>
        <v>1</v>
      </c>
      <c r="T41" s="135"/>
      <c r="U41" s="136">
        <f t="shared" si="1"/>
        <v>0.73895094961054264</v>
      </c>
      <c r="V41" s="136"/>
      <c r="W41" s="137">
        <f t="shared" si="2"/>
        <v>0.20259571868489043</v>
      </c>
      <c r="X41" s="130">
        <f>IFERROR(_xlfn.XLOOKUP($A41,'Raw Data'!$G:$G,'Raw Data'!AI:AI),"")</f>
        <v>39449.4</v>
      </c>
      <c r="Y41" s="130">
        <f>IFERROR(_xlfn.XLOOKUP($A41,'Raw Data'!$G:$G,'Raw Data'!AJ:AJ),"")</f>
        <v>39099.999999991269</v>
      </c>
      <c r="Z41" s="130">
        <f>IFERROR(_xlfn.XLOOKUP($A41,'Raw Data'!$G:$G,'Raw Data'!AK:AK),"")</f>
        <v>99.999999999965894</v>
      </c>
      <c r="AA41" s="130">
        <f>IFERROR(_xlfn.XLOOKUP($A41,'Raw Data'!$G:$G,'Raw Data'!AL:AL),"")</f>
        <v>38999.999999991305</v>
      </c>
      <c r="AB41" s="130">
        <f>IFERROR(_xlfn.XLOOKUP($A41,'Raw Data'!$G:$G,'Raw Data'!H:H),"")</f>
        <v>8.0208999999999993</v>
      </c>
      <c r="AC41" s="76">
        <f>IFERROR(_xlfn.XLOOKUP($D41,'Modelling New'!$D:$D,'Modelling New'!P:P),"")</f>
        <v>6.0129032258064514</v>
      </c>
      <c r="AD41" s="130">
        <f>IFERROR(_xlfn.XLOOKUP($D41,'Modelling New'!$D:$D,'Modelling New'!$T:$T)*1000,"")</f>
        <v>33577.74455581214</v>
      </c>
      <c r="AE41" s="138">
        <f>IFERROR(_xlfn.XLOOKUP($D41,'Modelling New'!$D:$D,'Modelling New'!O:O),"")</f>
        <v>0.69621632879901718</v>
      </c>
      <c r="AF41" s="137">
        <f>IFERROR(_xlfn.XLOOKUP($D41,'Modelling New'!$D:$D,'Modelling New'!W:W),"")</f>
        <v>0.17442839205394728</v>
      </c>
      <c r="AG41" s="137">
        <f>IFERROR(_xlfn.XLOOKUP($D41,'Modelling New'!$D:$D,'Modelling New'!AE:AE),"")</f>
        <v>0.98040000000000005</v>
      </c>
      <c r="AH41" s="156">
        <f>IFERROR(_xlfn.XLOOKUP($D41,'Modelling New'!$D:$D,'Modelling New'!AF:AF),"")</f>
        <v>0.98</v>
      </c>
      <c r="AN41" s="134"/>
      <c r="AO41" s="137"/>
      <c r="AP41" s="137"/>
      <c r="AQ41" s="137"/>
      <c r="AR41" s="130">
        <f>'Basic Data'!$B$98/1000</f>
        <v>8.0208999999999993</v>
      </c>
    </row>
    <row r="42" spans="1:44" x14ac:dyDescent="0.3">
      <c r="A42" s="129">
        <f t="shared" si="3"/>
        <v>45785</v>
      </c>
      <c r="B42" s="130">
        <f>YEAR(Table13[[#This Row],[Date]])+IF(MONTH(Table13[[#This Row],[Date]])&gt;=4,1,0)</f>
        <v>2026</v>
      </c>
      <c r="C42" s="7">
        <f>YEAR(Table13[[#This Row],[Date]])</f>
        <v>2025</v>
      </c>
      <c r="D42" s="131">
        <f>Table13[[#This Row],[Date]]-DAY(Table13[[#This Row],[Date]])+1</f>
        <v>45778</v>
      </c>
      <c r="E42" s="7">
        <f t="shared" si="0"/>
        <v>31</v>
      </c>
      <c r="F42" s="132">
        <f>IFERROR(_xlfn.XLOOKUP($A42,'Raw Data'!$G:$G,'Raw Data'!$AM:$AM),"")</f>
        <v>12.450000000000001</v>
      </c>
      <c r="G42" s="133">
        <f>IFERROR(_xlfn.XLOOKUP($A42,'Raw Data'!$G:$G,'Raw Data'!$AB:$AB),"")</f>
        <v>0</v>
      </c>
      <c r="H42" s="133"/>
      <c r="I42" s="133">
        <f>IFERROR(_xlfn.XLOOKUP($A42,'Raw Data'!$G:$G,'Raw Data'!$AC:$AC),"")</f>
        <v>6.72</v>
      </c>
      <c r="J42" s="133"/>
      <c r="K42" s="133">
        <f>IFERROR(_xlfn.XLOOKUP($A42,'Raw Data'!$G:$G,'Raw Data'!AD:AD),"")</f>
        <v>0</v>
      </c>
      <c r="L42" s="133">
        <f>IFERROR(_xlfn.XLOOKUP($A42,'Raw Data'!$G:$G,'Raw Data'!AE:AE),"")</f>
        <v>44.03</v>
      </c>
      <c r="M42" s="133">
        <f>IFERROR(_xlfn.XLOOKUP($A42,'Raw Data'!$G:$G,'Raw Data'!AF:AF),"")</f>
        <v>0</v>
      </c>
      <c r="N42" s="133">
        <f>IFERROR(_xlfn.XLOOKUP($A42,'Raw Data'!$G:$G,'Raw Data'!AG:AG),"")</f>
        <v>0</v>
      </c>
      <c r="O42" s="134">
        <f>IFERROR(1-SUMIF('Plant BD'!$H:$H,$A42,'Plant BD'!$AE:$AE)/($AA42+SUMIF('Plant BD'!$H:$H,$A42,'Plant BD'!$AE:$AE)),"")</f>
        <v>1</v>
      </c>
      <c r="P42" s="134"/>
      <c r="Q42" s="135"/>
      <c r="R42" s="134">
        <f>IFERROR(1-SUMIF('Grid BD'!$H:$H,$A42,'Grid BD'!$AD:$AD)/($AA42+SUMIF('Grid BD'!$H:$H,$A42,'Grid BD'!$AD:$AD)),"")</f>
        <v>0.97431814439636222</v>
      </c>
      <c r="T42" s="135"/>
      <c r="U42" s="136">
        <f t="shared" si="1"/>
        <v>0.72262850208597329</v>
      </c>
      <c r="V42" s="136"/>
      <c r="W42" s="137">
        <f t="shared" si="2"/>
        <v>0.20233598058407248</v>
      </c>
      <c r="X42" s="130">
        <f>IFERROR(_xlfn.XLOOKUP($A42,'Raw Data'!$G:$G,'Raw Data'!AI:AI),"")</f>
        <v>39372.199999999997</v>
      </c>
      <c r="Y42" s="130">
        <f>IFERROR(_xlfn.XLOOKUP($A42,'Raw Data'!$G:$G,'Raw Data'!AJ:AJ),"")</f>
        <v>39050.00000000291</v>
      </c>
      <c r="Z42" s="130">
        <f>IFERROR(_xlfn.XLOOKUP($A42,'Raw Data'!$G:$G,'Raw Data'!AK:AK),"")</f>
        <v>100.00000000002274</v>
      </c>
      <c r="AA42" s="130">
        <f>IFERROR(_xlfn.XLOOKUP($A42,'Raw Data'!$G:$G,'Raw Data'!AL:AL),"")</f>
        <v>38950.000000002889</v>
      </c>
      <c r="AB42" s="130">
        <f>IFERROR(_xlfn.XLOOKUP($A42,'Raw Data'!$G:$G,'Raw Data'!H:H),"")</f>
        <v>8.0208999999999993</v>
      </c>
      <c r="AC42" s="76">
        <f>IFERROR(_xlfn.XLOOKUP($D42,'Modelling New'!$D:$D,'Modelling New'!P:P),"")</f>
        <v>6.0129032258064514</v>
      </c>
      <c r="AD42" s="130">
        <f>IFERROR(_xlfn.XLOOKUP($D42,'Modelling New'!$D:$D,'Modelling New'!$T:$T)*1000,"")</f>
        <v>33577.74455581214</v>
      </c>
      <c r="AE42" s="138">
        <f>IFERROR(_xlfn.XLOOKUP($D42,'Modelling New'!$D:$D,'Modelling New'!O:O),"")</f>
        <v>0.69621632879901718</v>
      </c>
      <c r="AF42" s="137">
        <f>IFERROR(_xlfn.XLOOKUP($D42,'Modelling New'!$D:$D,'Modelling New'!W:W),"")</f>
        <v>0.17442839205394728</v>
      </c>
      <c r="AG42" s="137">
        <f>IFERROR(_xlfn.XLOOKUP($D42,'Modelling New'!$D:$D,'Modelling New'!AE:AE),"")</f>
        <v>0.98040000000000005</v>
      </c>
      <c r="AH42" s="156">
        <f>IFERROR(_xlfn.XLOOKUP($D42,'Modelling New'!$D:$D,'Modelling New'!AF:AF),"")</f>
        <v>0.98</v>
      </c>
      <c r="AN42" s="134"/>
      <c r="AO42" s="137"/>
      <c r="AP42" s="137"/>
      <c r="AQ42" s="137"/>
      <c r="AR42" s="130">
        <f>'Basic Data'!$B$98/1000</f>
        <v>8.0208999999999993</v>
      </c>
    </row>
    <row r="43" spans="1:44" x14ac:dyDescent="0.3">
      <c r="A43" s="129">
        <f t="shared" si="3"/>
        <v>45786</v>
      </c>
      <c r="B43" s="130">
        <f>YEAR(Table13[[#This Row],[Date]])+IF(MONTH(Table13[[#This Row],[Date]])&gt;=4,1,0)</f>
        <v>2026</v>
      </c>
      <c r="C43" s="7">
        <f>YEAR(Table13[[#This Row],[Date]])</f>
        <v>2025</v>
      </c>
      <c r="D43" s="131">
        <f>Table13[[#This Row],[Date]]-DAY(Table13[[#This Row],[Date]])+1</f>
        <v>45778</v>
      </c>
      <c r="E43" s="7">
        <f t="shared" si="0"/>
        <v>31</v>
      </c>
      <c r="F43" s="132">
        <f>IFERROR(_xlfn.XLOOKUP($A43,'Raw Data'!$G:$G,'Raw Data'!$AM:$AM),"")</f>
        <v>12.65</v>
      </c>
      <c r="G43" s="133">
        <f>IFERROR(_xlfn.XLOOKUP($A43,'Raw Data'!$G:$G,'Raw Data'!$AB:$AB),"")</f>
        <v>0</v>
      </c>
      <c r="H43" s="133"/>
      <c r="I43" s="133">
        <f>IFERROR(_xlfn.XLOOKUP($A43,'Raw Data'!$G:$G,'Raw Data'!$AC:$AC),"")</f>
        <v>6.54</v>
      </c>
      <c r="J43" s="133"/>
      <c r="K43" s="133">
        <f>IFERROR(_xlfn.XLOOKUP($A43,'Raw Data'!$G:$G,'Raw Data'!AD:AD),"")</f>
        <v>0</v>
      </c>
      <c r="L43" s="133">
        <f>IFERROR(_xlfn.XLOOKUP($A43,'Raw Data'!$G:$G,'Raw Data'!AE:AE),"")</f>
        <v>44.38</v>
      </c>
      <c r="M43" s="133">
        <f>IFERROR(_xlfn.XLOOKUP($A43,'Raw Data'!$G:$G,'Raw Data'!AF:AF),"")</f>
        <v>0</v>
      </c>
      <c r="N43" s="133">
        <f>IFERROR(_xlfn.XLOOKUP($A43,'Raw Data'!$G:$G,'Raw Data'!AG:AG),"")</f>
        <v>0</v>
      </c>
      <c r="O43" s="134">
        <f>IFERROR(1-SUMIF('Plant BD'!$H:$H,$A43,'Plant BD'!$AE:$AE)/($AA43+SUMIF('Plant BD'!$H:$H,$A43,'Plant BD'!$AE:$AE)),"")</f>
        <v>1</v>
      </c>
      <c r="P43" s="134"/>
      <c r="Q43" s="135"/>
      <c r="R43" s="134">
        <f>IFERROR(1-SUMIF('Grid BD'!$H:$H,$A43,'Grid BD'!$AD:$AD)/($AA43+SUMIF('Grid BD'!$H:$H,$A43,'Grid BD'!$AD:$AD)),"")</f>
        <v>1</v>
      </c>
      <c r="T43" s="135"/>
      <c r="U43" s="136">
        <f t="shared" si="1"/>
        <v>0.7358451885427354</v>
      </c>
      <c r="V43" s="136"/>
      <c r="W43" s="137">
        <f t="shared" si="2"/>
        <v>0.20051781387789538</v>
      </c>
      <c r="X43" s="130">
        <f>IFERROR(_xlfn.XLOOKUP($A43,'Raw Data'!$G:$G,'Raw Data'!AI:AI),"")</f>
        <v>39049.699999999997</v>
      </c>
      <c r="Y43" s="130">
        <f>IFERROR(_xlfn.XLOOKUP($A43,'Raw Data'!$G:$G,'Raw Data'!AJ:AJ),"")</f>
        <v>38699.99999999709</v>
      </c>
      <c r="Z43" s="130">
        <f>IFERROR(_xlfn.XLOOKUP($A43,'Raw Data'!$G:$G,'Raw Data'!AK:AK),"")</f>
        <v>100.00000000002274</v>
      </c>
      <c r="AA43" s="130">
        <f>IFERROR(_xlfn.XLOOKUP($A43,'Raw Data'!$G:$G,'Raw Data'!AL:AL),"")</f>
        <v>38599.999999997068</v>
      </c>
      <c r="AB43" s="130">
        <f>IFERROR(_xlfn.XLOOKUP($A43,'Raw Data'!$G:$G,'Raw Data'!H:H),"")</f>
        <v>8.0208999999999993</v>
      </c>
      <c r="AC43" s="76">
        <f>IFERROR(_xlfn.XLOOKUP($D43,'Modelling New'!$D:$D,'Modelling New'!P:P),"")</f>
        <v>6.0129032258064514</v>
      </c>
      <c r="AD43" s="130">
        <f>IFERROR(_xlfn.XLOOKUP($D43,'Modelling New'!$D:$D,'Modelling New'!$T:$T)*1000,"")</f>
        <v>33577.74455581214</v>
      </c>
      <c r="AE43" s="138">
        <f>IFERROR(_xlfn.XLOOKUP($D43,'Modelling New'!$D:$D,'Modelling New'!O:O),"")</f>
        <v>0.69621632879901718</v>
      </c>
      <c r="AF43" s="137">
        <f>IFERROR(_xlfn.XLOOKUP($D43,'Modelling New'!$D:$D,'Modelling New'!W:W),"")</f>
        <v>0.17442839205394728</v>
      </c>
      <c r="AG43" s="137">
        <f>IFERROR(_xlfn.XLOOKUP($D43,'Modelling New'!$D:$D,'Modelling New'!AE:AE),"")</f>
        <v>0.98040000000000005</v>
      </c>
      <c r="AH43" s="156">
        <f>IFERROR(_xlfn.XLOOKUP($D43,'Modelling New'!$D:$D,'Modelling New'!AF:AF),"")</f>
        <v>0.98</v>
      </c>
      <c r="AN43" s="134"/>
      <c r="AO43" s="137"/>
      <c r="AP43" s="137"/>
      <c r="AQ43" s="137"/>
      <c r="AR43" s="130">
        <f>'Basic Data'!$B$98/1000</f>
        <v>8.0208999999999993</v>
      </c>
    </row>
    <row r="44" spans="1:44" x14ac:dyDescent="0.3">
      <c r="A44" s="129">
        <f t="shared" si="3"/>
        <v>45787</v>
      </c>
      <c r="B44" s="130">
        <f>YEAR(Table13[[#This Row],[Date]])+IF(MONTH(Table13[[#This Row],[Date]])&gt;=4,1,0)</f>
        <v>2026</v>
      </c>
      <c r="C44" s="7">
        <f>YEAR(Table13[[#This Row],[Date]])</f>
        <v>2025</v>
      </c>
      <c r="D44" s="131">
        <f>Table13[[#This Row],[Date]]-DAY(Table13[[#This Row],[Date]])+1</f>
        <v>45778</v>
      </c>
      <c r="E44" s="7">
        <f t="shared" si="0"/>
        <v>31</v>
      </c>
      <c r="F44" s="132">
        <f>IFERROR(_xlfn.XLOOKUP($A44,'Raw Data'!$G:$G,'Raw Data'!$AM:$AM),"")</f>
        <v>12.5</v>
      </c>
      <c r="G44" s="133">
        <f>IFERROR(_xlfn.XLOOKUP($A44,'Raw Data'!$G:$G,'Raw Data'!$AB:$AB),"")</f>
        <v>0</v>
      </c>
      <c r="H44" s="133"/>
      <c r="I44" s="133">
        <f>IFERROR(_xlfn.XLOOKUP($A44,'Raw Data'!$G:$G,'Raw Data'!$AC:$AC),"")</f>
        <v>4.9800000000000004</v>
      </c>
      <c r="J44" s="133"/>
      <c r="K44" s="133">
        <f>IFERROR(_xlfn.XLOOKUP($A44,'Raw Data'!$G:$G,'Raw Data'!AD:AD),"")</f>
        <v>0</v>
      </c>
      <c r="L44" s="133">
        <f>IFERROR(_xlfn.XLOOKUP($A44,'Raw Data'!$G:$G,'Raw Data'!AE:AE),"")</f>
        <v>42.32</v>
      </c>
      <c r="M44" s="133">
        <f>IFERROR(_xlfn.XLOOKUP($A44,'Raw Data'!$G:$G,'Raw Data'!AF:AF),"")</f>
        <v>0</v>
      </c>
      <c r="N44" s="133">
        <f>IFERROR(_xlfn.XLOOKUP($A44,'Raw Data'!$G:$G,'Raw Data'!AG:AG),"")</f>
        <v>0</v>
      </c>
      <c r="O44" s="134">
        <f>IFERROR(1-SUMIF('Plant BD'!$H:$H,$A44,'Plant BD'!$AE:$AE)/($AA44+SUMIF('Plant BD'!$H:$H,$A44,'Plant BD'!$AE:$AE)),"")</f>
        <v>1</v>
      </c>
      <c r="P44" s="134"/>
      <c r="Q44" s="135"/>
      <c r="R44" s="134">
        <f>IFERROR(1-SUMIF('Grid BD'!$H:$H,$A44,'Grid BD'!$AD:$AD)/($AA44+SUMIF('Grid BD'!$H:$H,$A44,'Grid BD'!$AD:$AD)),"")</f>
        <v>1</v>
      </c>
      <c r="T44" s="135"/>
      <c r="U44" s="136">
        <f t="shared" si="1"/>
        <v>0.81864442397256609</v>
      </c>
      <c r="V44" s="136"/>
      <c r="W44" s="137">
        <f t="shared" si="2"/>
        <v>0.16986871797430744</v>
      </c>
      <c r="X44" s="130">
        <f>IFERROR(_xlfn.XLOOKUP($A44,'Raw Data'!$G:$G,'Raw Data'!AI:AI),"")</f>
        <v>33104.300000000003</v>
      </c>
      <c r="Y44" s="130">
        <f>IFERROR(_xlfn.XLOOKUP($A44,'Raw Data'!$G:$G,'Raw Data'!AJ:AJ),"")</f>
        <v>32800.00000000291</v>
      </c>
      <c r="Z44" s="130">
        <f>IFERROR(_xlfn.XLOOKUP($A44,'Raw Data'!$G:$G,'Raw Data'!AK:AK),"")</f>
        <v>99.999999999965894</v>
      </c>
      <c r="AA44" s="130">
        <f>IFERROR(_xlfn.XLOOKUP($A44,'Raw Data'!$G:$G,'Raw Data'!AL:AL),"")</f>
        <v>32700.000000002943</v>
      </c>
      <c r="AB44" s="130">
        <f>IFERROR(_xlfn.XLOOKUP($A44,'Raw Data'!$G:$G,'Raw Data'!H:H),"")</f>
        <v>8.0208999999999993</v>
      </c>
      <c r="AC44" s="76">
        <f>IFERROR(_xlfn.XLOOKUP($D44,'Modelling New'!$D:$D,'Modelling New'!P:P),"")</f>
        <v>6.0129032258064514</v>
      </c>
      <c r="AD44" s="130">
        <f>IFERROR(_xlfn.XLOOKUP($D44,'Modelling New'!$D:$D,'Modelling New'!$T:$T)*1000,"")</f>
        <v>33577.74455581214</v>
      </c>
      <c r="AE44" s="138">
        <f>IFERROR(_xlfn.XLOOKUP($D44,'Modelling New'!$D:$D,'Modelling New'!O:O),"")</f>
        <v>0.69621632879901718</v>
      </c>
      <c r="AF44" s="137">
        <f>IFERROR(_xlfn.XLOOKUP($D44,'Modelling New'!$D:$D,'Modelling New'!W:W),"")</f>
        <v>0.17442839205394728</v>
      </c>
      <c r="AG44" s="137">
        <f>IFERROR(_xlfn.XLOOKUP($D44,'Modelling New'!$D:$D,'Modelling New'!AE:AE),"")</f>
        <v>0.98040000000000005</v>
      </c>
      <c r="AH44" s="156">
        <f>IFERROR(_xlfn.XLOOKUP($D44,'Modelling New'!$D:$D,'Modelling New'!AF:AF),"")</f>
        <v>0.98</v>
      </c>
      <c r="AN44" s="134"/>
      <c r="AO44" s="137"/>
      <c r="AP44" s="137"/>
      <c r="AQ44" s="137"/>
      <c r="AR44" s="130">
        <f>'Basic Data'!$B$98/1000</f>
        <v>8.0208999999999993</v>
      </c>
    </row>
    <row r="45" spans="1:44" x14ac:dyDescent="0.3">
      <c r="A45" s="129">
        <f t="shared" si="3"/>
        <v>45788</v>
      </c>
      <c r="B45" s="130">
        <f>YEAR(Table13[[#This Row],[Date]])+IF(MONTH(Table13[[#This Row],[Date]])&gt;=4,1,0)</f>
        <v>2026</v>
      </c>
      <c r="C45" s="7">
        <f>YEAR(Table13[[#This Row],[Date]])</f>
        <v>2025</v>
      </c>
      <c r="D45" s="131">
        <f>Table13[[#This Row],[Date]]-DAY(Table13[[#This Row],[Date]])+1</f>
        <v>45778</v>
      </c>
      <c r="E45" s="7">
        <f t="shared" si="0"/>
        <v>31</v>
      </c>
      <c r="F45" s="132">
        <f>IFERROR(_xlfn.XLOOKUP($A45,'Raw Data'!$G:$G,'Raw Data'!$AM:$AM),"")</f>
        <v>12.75</v>
      </c>
      <c r="G45" s="133">
        <f>IFERROR(_xlfn.XLOOKUP($A45,'Raw Data'!$G:$G,'Raw Data'!$AB:$AB),"")</f>
        <v>0</v>
      </c>
      <c r="H45" s="133"/>
      <c r="I45" s="133">
        <f>IFERROR(_xlfn.XLOOKUP($A45,'Raw Data'!$G:$G,'Raw Data'!$AC:$AC),"")</f>
        <v>5.82</v>
      </c>
      <c r="J45" s="133"/>
      <c r="K45" s="133">
        <f>IFERROR(_xlfn.XLOOKUP($A45,'Raw Data'!$G:$G,'Raw Data'!AD:AD),"")</f>
        <v>0</v>
      </c>
      <c r="L45" s="133">
        <f>IFERROR(_xlfn.XLOOKUP($A45,'Raw Data'!$G:$G,'Raw Data'!AE:AE),"")</f>
        <v>43.47</v>
      </c>
      <c r="M45" s="133">
        <f>IFERROR(_xlfn.XLOOKUP($A45,'Raw Data'!$G:$G,'Raw Data'!AF:AF),"")</f>
        <v>0</v>
      </c>
      <c r="N45" s="133">
        <f>IFERROR(_xlfn.XLOOKUP($A45,'Raw Data'!$G:$G,'Raw Data'!AG:AG),"")</f>
        <v>0</v>
      </c>
      <c r="O45" s="134">
        <f>IFERROR(1-SUMIF('Plant BD'!$H:$H,$A45,'Plant BD'!$AE:$AE)/($AA45+SUMIF('Plant BD'!$H:$H,$A45,'Plant BD'!$AE:$AE)),"")</f>
        <v>1</v>
      </c>
      <c r="P45" s="134"/>
      <c r="Q45" s="135"/>
      <c r="R45" s="134">
        <f>IFERROR(1-SUMIF('Grid BD'!$H:$H,$A45,'Grid BD'!$AD:$AD)/($AA45+SUMIF('Grid BD'!$H:$H,$A45,'Grid BD'!$AD:$AD)),"")</f>
        <v>1</v>
      </c>
      <c r="T45" s="135"/>
      <c r="U45" s="136">
        <f t="shared" si="1"/>
        <v>0.72405342760239388</v>
      </c>
      <c r="V45" s="136"/>
      <c r="W45" s="137">
        <f t="shared" si="2"/>
        <v>0.1755829561935805</v>
      </c>
      <c r="X45" s="130">
        <f>IFERROR(_xlfn.XLOOKUP($A45,'Raw Data'!$G:$G,'Raw Data'!AI:AI),"")</f>
        <v>34153.300000000003</v>
      </c>
      <c r="Y45" s="130">
        <f>IFERROR(_xlfn.XLOOKUP($A45,'Raw Data'!$G:$G,'Raw Data'!AJ:AJ),"")</f>
        <v>33899.999999994179</v>
      </c>
      <c r="Z45" s="130">
        <f>IFERROR(_xlfn.XLOOKUP($A45,'Raw Data'!$G:$G,'Raw Data'!AK:AK),"")</f>
        <v>100.00000000002274</v>
      </c>
      <c r="AA45" s="130">
        <f>IFERROR(_xlfn.XLOOKUP($A45,'Raw Data'!$G:$G,'Raw Data'!AL:AL),"")</f>
        <v>33799.999999994157</v>
      </c>
      <c r="AB45" s="130">
        <f>IFERROR(_xlfn.XLOOKUP($A45,'Raw Data'!$G:$G,'Raw Data'!H:H),"")</f>
        <v>8.0208999999999993</v>
      </c>
      <c r="AC45" s="76">
        <f>IFERROR(_xlfn.XLOOKUP($D45,'Modelling New'!$D:$D,'Modelling New'!P:P),"")</f>
        <v>6.0129032258064514</v>
      </c>
      <c r="AD45" s="130">
        <f>IFERROR(_xlfn.XLOOKUP($D45,'Modelling New'!$D:$D,'Modelling New'!$T:$T)*1000,"")</f>
        <v>33577.74455581214</v>
      </c>
      <c r="AE45" s="138">
        <f>IFERROR(_xlfn.XLOOKUP($D45,'Modelling New'!$D:$D,'Modelling New'!O:O),"")</f>
        <v>0.69621632879901718</v>
      </c>
      <c r="AF45" s="137">
        <f>IFERROR(_xlfn.XLOOKUP($D45,'Modelling New'!$D:$D,'Modelling New'!W:W),"")</f>
        <v>0.17442839205394728</v>
      </c>
      <c r="AG45" s="137">
        <f>IFERROR(_xlfn.XLOOKUP($D45,'Modelling New'!$D:$D,'Modelling New'!AE:AE),"")</f>
        <v>0.98040000000000005</v>
      </c>
      <c r="AH45" s="156">
        <f>IFERROR(_xlfn.XLOOKUP($D45,'Modelling New'!$D:$D,'Modelling New'!AF:AF),"")</f>
        <v>0.98</v>
      </c>
      <c r="AN45" s="134"/>
      <c r="AO45" s="137"/>
      <c r="AP45" s="137"/>
      <c r="AQ45" s="137"/>
      <c r="AR45" s="130">
        <f>'Basic Data'!$B$98/1000</f>
        <v>8.0208999999999993</v>
      </c>
    </row>
    <row r="46" spans="1:44" x14ac:dyDescent="0.3">
      <c r="A46" s="129">
        <f t="shared" si="3"/>
        <v>45789</v>
      </c>
      <c r="B46" s="130">
        <f>YEAR(Table13[[#This Row],[Date]])+IF(MONTH(Table13[[#This Row],[Date]])&gt;=4,1,0)</f>
        <v>2026</v>
      </c>
      <c r="C46" s="7">
        <f>YEAR(Table13[[#This Row],[Date]])</f>
        <v>2025</v>
      </c>
      <c r="D46" s="131">
        <f>Table13[[#This Row],[Date]]-DAY(Table13[[#This Row],[Date]])+1</f>
        <v>45778</v>
      </c>
      <c r="E46" s="7">
        <f t="shared" si="0"/>
        <v>31</v>
      </c>
      <c r="F46" s="132">
        <f>IFERROR(_xlfn.XLOOKUP($A46,'Raw Data'!$G:$G,'Raw Data'!$AM:$AM),"")</f>
        <v>11.866666666666667</v>
      </c>
      <c r="G46" s="133">
        <f>IFERROR(_xlfn.XLOOKUP($A46,'Raw Data'!$G:$G,'Raw Data'!$AB:$AB),"")</f>
        <v>0</v>
      </c>
      <c r="H46" s="133"/>
      <c r="I46" s="133">
        <f>IFERROR(_xlfn.XLOOKUP($A46,'Raw Data'!$G:$G,'Raw Data'!$AC:$AC),"")</f>
        <v>6.33</v>
      </c>
      <c r="J46" s="133"/>
      <c r="K46" s="133">
        <f>IFERROR(_xlfn.XLOOKUP($A46,'Raw Data'!$G:$G,'Raw Data'!AD:AD),"")</f>
        <v>0</v>
      </c>
      <c r="L46" s="133">
        <f>IFERROR(_xlfn.XLOOKUP($A46,'Raw Data'!$G:$G,'Raw Data'!AE:AE),"")</f>
        <v>44.17</v>
      </c>
      <c r="M46" s="133">
        <f>IFERROR(_xlfn.XLOOKUP($A46,'Raw Data'!$G:$G,'Raw Data'!AF:AF),"")</f>
        <v>0</v>
      </c>
      <c r="N46" s="133">
        <f>IFERROR(_xlfn.XLOOKUP($A46,'Raw Data'!$G:$G,'Raw Data'!AG:AG),"")</f>
        <v>0</v>
      </c>
      <c r="O46" s="134">
        <f>IFERROR(1-SUMIF('Plant BD'!$H:$H,$A46,'Plant BD'!$AE:$AE)/($AA46+SUMIF('Plant BD'!$H:$H,$A46,'Plant BD'!$AE:$AE)),"")</f>
        <v>1</v>
      </c>
      <c r="P46" s="134"/>
      <c r="Q46" s="135"/>
      <c r="R46" s="134">
        <f>IFERROR(1-SUMIF('Grid BD'!$H:$H,$A46,'Grid BD'!$AD:$AD)/($AA46+SUMIF('Grid BD'!$H:$H,$A46,'Grid BD'!$AD:$AD)),"")</f>
        <v>1</v>
      </c>
      <c r="T46" s="135"/>
      <c r="U46" s="136">
        <f t="shared" si="1"/>
        <v>0.7799528943906493</v>
      </c>
      <c r="V46" s="136"/>
      <c r="W46" s="137">
        <f t="shared" si="2"/>
        <v>0.20571257589553374</v>
      </c>
      <c r="X46" s="130">
        <f>IFERROR(_xlfn.XLOOKUP($A46,'Raw Data'!$G:$G,'Raw Data'!AI:AI),"")</f>
        <v>39985.699999999997</v>
      </c>
      <c r="Y46" s="130">
        <f>IFERROR(_xlfn.XLOOKUP($A46,'Raw Data'!$G:$G,'Raw Data'!AJ:AJ),"")</f>
        <v>39700.000000011642</v>
      </c>
      <c r="Z46" s="130">
        <f>IFERROR(_xlfn.XLOOKUP($A46,'Raw Data'!$G:$G,'Raw Data'!AK:AK),"")</f>
        <v>99.999999999965894</v>
      </c>
      <c r="AA46" s="130">
        <f>IFERROR(_xlfn.XLOOKUP($A46,'Raw Data'!$G:$G,'Raw Data'!AL:AL),"")</f>
        <v>39600.000000011678</v>
      </c>
      <c r="AB46" s="130">
        <f>IFERROR(_xlfn.XLOOKUP($A46,'Raw Data'!$G:$G,'Raw Data'!H:H),"")</f>
        <v>8.0208999999999993</v>
      </c>
      <c r="AC46" s="76">
        <f>IFERROR(_xlfn.XLOOKUP($D46,'Modelling New'!$D:$D,'Modelling New'!P:P),"")</f>
        <v>6.0129032258064514</v>
      </c>
      <c r="AD46" s="130">
        <f>IFERROR(_xlfn.XLOOKUP($D46,'Modelling New'!$D:$D,'Modelling New'!$T:$T)*1000,"")</f>
        <v>33577.74455581214</v>
      </c>
      <c r="AE46" s="138">
        <f>IFERROR(_xlfn.XLOOKUP($D46,'Modelling New'!$D:$D,'Modelling New'!O:O),"")</f>
        <v>0.69621632879901718</v>
      </c>
      <c r="AF46" s="137">
        <f>IFERROR(_xlfn.XLOOKUP($D46,'Modelling New'!$D:$D,'Modelling New'!W:W),"")</f>
        <v>0.17442839205394728</v>
      </c>
      <c r="AG46" s="137">
        <f>IFERROR(_xlfn.XLOOKUP($D46,'Modelling New'!$D:$D,'Modelling New'!AE:AE),"")</f>
        <v>0.98040000000000005</v>
      </c>
      <c r="AH46" s="156">
        <f>IFERROR(_xlfn.XLOOKUP($D46,'Modelling New'!$D:$D,'Modelling New'!AF:AF),"")</f>
        <v>0.98</v>
      </c>
      <c r="AN46" s="134"/>
      <c r="AO46" s="137"/>
      <c r="AP46" s="137"/>
      <c r="AQ46" s="137"/>
      <c r="AR46" s="130">
        <f>'Basic Data'!$B$98/1000</f>
        <v>8.0208999999999993</v>
      </c>
    </row>
    <row r="47" spans="1:44" x14ac:dyDescent="0.3">
      <c r="A47" s="129">
        <f t="shared" si="3"/>
        <v>45790</v>
      </c>
      <c r="B47" s="130">
        <f>YEAR(Table13[[#This Row],[Date]])+IF(MONTH(Table13[[#This Row],[Date]])&gt;=4,1,0)</f>
        <v>2026</v>
      </c>
      <c r="C47" s="7">
        <f>YEAR(Table13[[#This Row],[Date]])</f>
        <v>2025</v>
      </c>
      <c r="D47" s="131">
        <f>Table13[[#This Row],[Date]]-DAY(Table13[[#This Row],[Date]])+1</f>
        <v>45778</v>
      </c>
      <c r="E47" s="7">
        <f t="shared" si="0"/>
        <v>31</v>
      </c>
      <c r="F47" s="132">
        <f>IFERROR(_xlfn.XLOOKUP($A47,'Raw Data'!$G:$G,'Raw Data'!$AM:$AM),"")</f>
        <v>12.600000000000001</v>
      </c>
      <c r="G47" s="133">
        <f>IFERROR(_xlfn.XLOOKUP($A47,'Raw Data'!$G:$G,'Raw Data'!$AB:$AB),"")</f>
        <v>0</v>
      </c>
      <c r="H47" s="133"/>
      <c r="I47" s="133">
        <f>IFERROR(_xlfn.XLOOKUP($A47,'Raw Data'!$G:$G,'Raw Data'!$AC:$AC),"")</f>
        <v>5.18</v>
      </c>
      <c r="J47" s="133"/>
      <c r="K47" s="133">
        <f>IFERROR(_xlfn.XLOOKUP($A47,'Raw Data'!$G:$G,'Raw Data'!AD:AD),"")</f>
        <v>0</v>
      </c>
      <c r="L47" s="133">
        <f>IFERROR(_xlfn.XLOOKUP($A47,'Raw Data'!$G:$G,'Raw Data'!AE:AE),"")</f>
        <v>42.05</v>
      </c>
      <c r="M47" s="133">
        <f>IFERROR(_xlfn.XLOOKUP($A47,'Raw Data'!$G:$G,'Raw Data'!AF:AF),"")</f>
        <v>0</v>
      </c>
      <c r="N47" s="133">
        <f>IFERROR(_xlfn.XLOOKUP($A47,'Raw Data'!$G:$G,'Raw Data'!AG:AG),"")</f>
        <v>0</v>
      </c>
      <c r="O47" s="134">
        <f>IFERROR(1-SUMIF('Plant BD'!$H:$H,$A47,'Plant BD'!$AE:$AE)/($AA47+SUMIF('Plant BD'!$H:$H,$A47,'Plant BD'!$AE:$AE)),"")</f>
        <v>1</v>
      </c>
      <c r="P47" s="134"/>
      <c r="Q47" s="135"/>
      <c r="R47" s="134">
        <f>IFERROR(1-SUMIF('Grid BD'!$H:$H,$A47,'Grid BD'!$AD:$AD)/($AA47+SUMIF('Grid BD'!$H:$H,$A47,'Grid BD'!$AD:$AD)),"")</f>
        <v>1</v>
      </c>
      <c r="T47" s="135"/>
      <c r="U47" s="136">
        <f t="shared" si="1"/>
        <v>0.83035964296150955</v>
      </c>
      <c r="V47" s="136"/>
      <c r="W47" s="137">
        <f t="shared" si="2"/>
        <v>0.17921928960585909</v>
      </c>
      <c r="X47" s="130">
        <f>IFERROR(_xlfn.XLOOKUP($A47,'Raw Data'!$G:$G,'Raw Data'!AI:AI),"")</f>
        <v>34932.200000000004</v>
      </c>
      <c r="Y47" s="130">
        <f>IFERROR(_xlfn.XLOOKUP($A47,'Raw Data'!$G:$G,'Raw Data'!AJ:AJ),"")</f>
        <v>34599.999999991269</v>
      </c>
      <c r="Z47" s="130">
        <f>IFERROR(_xlfn.XLOOKUP($A47,'Raw Data'!$G:$G,'Raw Data'!AK:AK),"")</f>
        <v>100.00000000002274</v>
      </c>
      <c r="AA47" s="130">
        <f>IFERROR(_xlfn.XLOOKUP($A47,'Raw Data'!$G:$G,'Raw Data'!AL:AL),"")</f>
        <v>34499.999999991247</v>
      </c>
      <c r="AB47" s="130">
        <f>IFERROR(_xlfn.XLOOKUP($A47,'Raw Data'!$G:$G,'Raw Data'!H:H),"")</f>
        <v>8.0208999999999993</v>
      </c>
      <c r="AC47" s="76">
        <f>IFERROR(_xlfn.XLOOKUP($D47,'Modelling New'!$D:$D,'Modelling New'!P:P),"")</f>
        <v>6.0129032258064514</v>
      </c>
      <c r="AD47" s="130">
        <f>IFERROR(_xlfn.XLOOKUP($D47,'Modelling New'!$D:$D,'Modelling New'!$T:$T)*1000,"")</f>
        <v>33577.74455581214</v>
      </c>
      <c r="AE47" s="138">
        <f>IFERROR(_xlfn.XLOOKUP($D47,'Modelling New'!$D:$D,'Modelling New'!O:O),"")</f>
        <v>0.69621632879901718</v>
      </c>
      <c r="AF47" s="137">
        <f>IFERROR(_xlfn.XLOOKUP($D47,'Modelling New'!$D:$D,'Modelling New'!W:W),"")</f>
        <v>0.17442839205394728</v>
      </c>
      <c r="AG47" s="137">
        <f>IFERROR(_xlfn.XLOOKUP($D47,'Modelling New'!$D:$D,'Modelling New'!AE:AE),"")</f>
        <v>0.98040000000000005</v>
      </c>
      <c r="AH47" s="156">
        <f>IFERROR(_xlfn.XLOOKUP($D47,'Modelling New'!$D:$D,'Modelling New'!AF:AF),"")</f>
        <v>0.98</v>
      </c>
      <c r="AN47" s="134"/>
      <c r="AO47" s="137"/>
      <c r="AP47" s="137"/>
      <c r="AQ47" s="137"/>
      <c r="AR47" s="130">
        <f>'Basic Data'!$B$98/1000</f>
        <v>8.0208999999999993</v>
      </c>
    </row>
    <row r="48" spans="1:44" x14ac:dyDescent="0.3">
      <c r="A48" s="129">
        <f t="shared" si="3"/>
        <v>45791</v>
      </c>
      <c r="B48" s="130">
        <f>YEAR(Table13[[#This Row],[Date]])+IF(MONTH(Table13[[#This Row],[Date]])&gt;=4,1,0)</f>
        <v>2026</v>
      </c>
      <c r="C48" s="7">
        <f>YEAR(Table13[[#This Row],[Date]])</f>
        <v>2025</v>
      </c>
      <c r="D48" s="131">
        <f>Table13[[#This Row],[Date]]-DAY(Table13[[#This Row],[Date]])+1</f>
        <v>45778</v>
      </c>
      <c r="E48" s="7">
        <f t="shared" si="0"/>
        <v>31</v>
      </c>
      <c r="F48" s="132">
        <f>IFERROR(_xlfn.XLOOKUP($A48,'Raw Data'!$G:$G,'Raw Data'!$AM:$AM),"")</f>
        <v>12.299999999999999</v>
      </c>
      <c r="G48" s="133">
        <f>IFERROR(_xlfn.XLOOKUP($A48,'Raw Data'!$G:$G,'Raw Data'!$AB:$AB),"")</f>
        <v>0</v>
      </c>
      <c r="H48" s="133"/>
      <c r="I48" s="133">
        <f>IFERROR(_xlfn.XLOOKUP($A48,'Raw Data'!$G:$G,'Raw Data'!$AC:$AC),"")</f>
        <v>5.23</v>
      </c>
      <c r="J48" s="133"/>
      <c r="K48" s="133">
        <f>IFERROR(_xlfn.XLOOKUP($A48,'Raw Data'!$G:$G,'Raw Data'!AD:AD),"")</f>
        <v>0</v>
      </c>
      <c r="L48" s="133">
        <f>IFERROR(_xlfn.XLOOKUP($A48,'Raw Data'!$G:$G,'Raw Data'!AE:AE),"")</f>
        <v>41.35</v>
      </c>
      <c r="M48" s="133">
        <f>IFERROR(_xlfn.XLOOKUP($A48,'Raw Data'!$G:$G,'Raw Data'!AF:AF),"")</f>
        <v>0</v>
      </c>
      <c r="N48" s="133">
        <f>IFERROR(_xlfn.XLOOKUP($A48,'Raw Data'!$G:$G,'Raw Data'!AG:AG),"")</f>
        <v>0</v>
      </c>
      <c r="O48" s="134">
        <f>IFERROR(1-SUMIF('Plant BD'!$H:$H,$A48,'Plant BD'!$AE:$AE)/($AA48+SUMIF('Plant BD'!$H:$H,$A48,'Plant BD'!$AE:$AE)),"")</f>
        <v>1</v>
      </c>
      <c r="P48" s="134"/>
      <c r="Q48" s="135"/>
      <c r="R48" s="134">
        <f>IFERROR(1-SUMIF('Grid BD'!$H:$H,$A48,'Grid BD'!$AD:$AD)/($AA48+SUMIF('Grid BD'!$H:$H,$A48,'Grid BD'!$AD:$AD)),"")</f>
        <v>0.99985763742975042</v>
      </c>
      <c r="T48" s="135"/>
      <c r="U48" s="136">
        <f t="shared" si="1"/>
        <v>0.80573440700721732</v>
      </c>
      <c r="V48" s="136"/>
      <c r="W48" s="137">
        <f t="shared" si="2"/>
        <v>0.1755829561936561</v>
      </c>
      <c r="X48" s="130">
        <f>IFERROR(_xlfn.XLOOKUP($A48,'Raw Data'!$G:$G,'Raw Data'!AI:AI),"")</f>
        <v>34215.9</v>
      </c>
      <c r="Y48" s="130">
        <f>IFERROR(_xlfn.XLOOKUP($A48,'Raw Data'!$G:$G,'Raw Data'!AJ:AJ),"")</f>
        <v>33900.000000008731</v>
      </c>
      <c r="Z48" s="130">
        <f>IFERROR(_xlfn.XLOOKUP($A48,'Raw Data'!$G:$G,'Raw Data'!AK:AK),"")</f>
        <v>100.00000000002274</v>
      </c>
      <c r="AA48" s="130">
        <f>IFERROR(_xlfn.XLOOKUP($A48,'Raw Data'!$G:$G,'Raw Data'!AL:AL),"")</f>
        <v>33800.000000008709</v>
      </c>
      <c r="AB48" s="130">
        <f>IFERROR(_xlfn.XLOOKUP($A48,'Raw Data'!$G:$G,'Raw Data'!H:H),"")</f>
        <v>8.0208999999999993</v>
      </c>
      <c r="AC48" s="76">
        <f>IFERROR(_xlfn.XLOOKUP($D48,'Modelling New'!$D:$D,'Modelling New'!P:P),"")</f>
        <v>6.0129032258064514</v>
      </c>
      <c r="AD48" s="130">
        <f>IFERROR(_xlfn.XLOOKUP($D48,'Modelling New'!$D:$D,'Modelling New'!$T:$T)*1000,"")</f>
        <v>33577.74455581214</v>
      </c>
      <c r="AE48" s="138">
        <f>IFERROR(_xlfn.XLOOKUP($D48,'Modelling New'!$D:$D,'Modelling New'!O:O),"")</f>
        <v>0.69621632879901718</v>
      </c>
      <c r="AF48" s="137">
        <f>IFERROR(_xlfn.XLOOKUP($D48,'Modelling New'!$D:$D,'Modelling New'!W:W),"")</f>
        <v>0.17442839205394728</v>
      </c>
      <c r="AG48" s="137">
        <f>IFERROR(_xlfn.XLOOKUP($D48,'Modelling New'!$D:$D,'Modelling New'!AE:AE),"")</f>
        <v>0.98040000000000005</v>
      </c>
      <c r="AH48" s="156">
        <f>IFERROR(_xlfn.XLOOKUP($D48,'Modelling New'!$D:$D,'Modelling New'!AF:AF),"")</f>
        <v>0.98</v>
      </c>
      <c r="AN48" s="134"/>
      <c r="AO48" s="137"/>
      <c r="AP48" s="137"/>
      <c r="AQ48" s="137"/>
      <c r="AR48" s="130">
        <f>'Basic Data'!$B$98/1000</f>
        <v>8.0208999999999993</v>
      </c>
    </row>
    <row r="49" spans="1:44" x14ac:dyDescent="0.3">
      <c r="A49" s="129">
        <f t="shared" si="3"/>
        <v>45792</v>
      </c>
      <c r="B49" s="130">
        <f>YEAR(Table13[[#This Row],[Date]])+IF(MONTH(Table13[[#This Row],[Date]])&gt;=4,1,0)</f>
        <v>2026</v>
      </c>
      <c r="C49" s="7">
        <f>YEAR(Table13[[#This Row],[Date]])</f>
        <v>2025</v>
      </c>
      <c r="D49" s="131">
        <f>Table13[[#This Row],[Date]]-DAY(Table13[[#This Row],[Date]])+1</f>
        <v>45778</v>
      </c>
      <c r="E49" s="7">
        <f t="shared" si="0"/>
        <v>31</v>
      </c>
      <c r="F49" s="132">
        <f>IFERROR(_xlfn.XLOOKUP($A49,'Raw Data'!$G:$G,'Raw Data'!$AM:$AM),"")</f>
        <v>12.2</v>
      </c>
      <c r="G49" s="133">
        <f>IFERROR(_xlfn.XLOOKUP($A49,'Raw Data'!$G:$G,'Raw Data'!$AB:$AB),"")</f>
        <v>0</v>
      </c>
      <c r="H49" s="133"/>
      <c r="I49" s="133">
        <f>IFERROR(_xlfn.XLOOKUP($A49,'Raw Data'!$G:$G,'Raw Data'!$AC:$AC),"")</f>
        <v>3.03</v>
      </c>
      <c r="J49" s="133"/>
      <c r="K49" s="133">
        <f>IFERROR(_xlfn.XLOOKUP($A49,'Raw Data'!$G:$G,'Raw Data'!AD:AD),"")</f>
        <v>0</v>
      </c>
      <c r="L49" s="133">
        <f>IFERROR(_xlfn.XLOOKUP($A49,'Raw Data'!$G:$G,'Raw Data'!AE:AE),"")</f>
        <v>33.729999999999997</v>
      </c>
      <c r="M49" s="133">
        <f>IFERROR(_xlfn.XLOOKUP($A49,'Raw Data'!$G:$G,'Raw Data'!AF:AF),"")</f>
        <v>0</v>
      </c>
      <c r="N49" s="133">
        <f>IFERROR(_xlfn.XLOOKUP($A49,'Raw Data'!$G:$G,'Raw Data'!AG:AG),"")</f>
        <v>0</v>
      </c>
      <c r="O49" s="134">
        <f>IFERROR(1-SUMIF('Plant BD'!$H:$H,$A49,'Plant BD'!$AE:$AE)/($AA49+SUMIF('Plant BD'!$H:$H,$A49,'Plant BD'!$AE:$AE)),"")</f>
        <v>0.94639374125847275</v>
      </c>
      <c r="P49" s="134"/>
      <c r="Q49" s="135"/>
      <c r="R49" s="134">
        <f>IFERROR(1-SUMIF('Grid BD'!$H:$H,$A49,'Grid BD'!$AD:$AD)/($AA49+SUMIF('Grid BD'!$H:$H,$A49,'Grid BD'!$AD:$AD)),"")</f>
        <v>0.98060033919621792</v>
      </c>
      <c r="T49" s="135"/>
      <c r="U49" s="136">
        <f t="shared" si="1"/>
        <v>0.76738464655429195</v>
      </c>
      <c r="V49" s="136"/>
      <c r="W49" s="137">
        <f t="shared" si="2"/>
        <v>9.6882311627479359E-2</v>
      </c>
      <c r="X49" s="130">
        <f>IFERROR(_xlfn.XLOOKUP($A49,'Raw Data'!$G:$G,'Raw Data'!AI:AI),"")</f>
        <v>19019.399999999998</v>
      </c>
      <c r="Y49" s="130">
        <f>IFERROR(_xlfn.XLOOKUP($A49,'Raw Data'!$G:$G,'Raw Data'!AJ:AJ),"")</f>
        <v>18799.999999988358</v>
      </c>
      <c r="Z49" s="130">
        <f>IFERROR(_xlfn.XLOOKUP($A49,'Raw Data'!$G:$G,'Raw Data'!AK:AK),"")</f>
        <v>149.99999999997726</v>
      </c>
      <c r="AA49" s="130">
        <f>IFERROR(_xlfn.XLOOKUP($A49,'Raw Data'!$G:$G,'Raw Data'!AL:AL),"")</f>
        <v>18649.99999998838</v>
      </c>
      <c r="AB49" s="130">
        <f>IFERROR(_xlfn.XLOOKUP($A49,'Raw Data'!$G:$G,'Raw Data'!H:H),"")</f>
        <v>8.0208999999999993</v>
      </c>
      <c r="AC49" s="76">
        <f>IFERROR(_xlfn.XLOOKUP($D49,'Modelling New'!$D:$D,'Modelling New'!P:P),"")</f>
        <v>6.0129032258064514</v>
      </c>
      <c r="AD49" s="130">
        <f>IFERROR(_xlfn.XLOOKUP($D49,'Modelling New'!$D:$D,'Modelling New'!$T:$T)*1000,"")</f>
        <v>33577.74455581214</v>
      </c>
      <c r="AE49" s="138">
        <f>IFERROR(_xlfn.XLOOKUP($D49,'Modelling New'!$D:$D,'Modelling New'!O:O),"")</f>
        <v>0.69621632879901718</v>
      </c>
      <c r="AF49" s="137">
        <f>IFERROR(_xlfn.XLOOKUP($D49,'Modelling New'!$D:$D,'Modelling New'!W:W),"")</f>
        <v>0.17442839205394728</v>
      </c>
      <c r="AG49" s="137">
        <f>IFERROR(_xlfn.XLOOKUP($D49,'Modelling New'!$D:$D,'Modelling New'!AE:AE),"")</f>
        <v>0.98040000000000005</v>
      </c>
      <c r="AH49" s="156">
        <f>IFERROR(_xlfn.XLOOKUP($D49,'Modelling New'!$D:$D,'Modelling New'!AF:AF),"")</f>
        <v>0.98</v>
      </c>
      <c r="AN49" s="134"/>
      <c r="AO49" s="137"/>
      <c r="AP49" s="137"/>
      <c r="AQ49" s="137"/>
      <c r="AR49" s="130">
        <f>'Basic Data'!$B$98/1000</f>
        <v>8.0208999999999993</v>
      </c>
    </row>
    <row r="50" spans="1:44" x14ac:dyDescent="0.3">
      <c r="A50" s="129">
        <f t="shared" si="3"/>
        <v>45793</v>
      </c>
      <c r="B50" s="130">
        <f>YEAR(Table13[[#This Row],[Date]])+IF(MONTH(Table13[[#This Row],[Date]])&gt;=4,1,0)</f>
        <v>2026</v>
      </c>
      <c r="C50" s="7">
        <f>YEAR(Table13[[#This Row],[Date]])</f>
        <v>2025</v>
      </c>
      <c r="D50" s="131">
        <f>Table13[[#This Row],[Date]]-DAY(Table13[[#This Row],[Date]])+1</f>
        <v>45778</v>
      </c>
      <c r="E50" s="7">
        <f t="shared" si="0"/>
        <v>31</v>
      </c>
      <c r="F50" s="132">
        <f>IFERROR(_xlfn.XLOOKUP($A50,'Raw Data'!$G:$G,'Raw Data'!$AM:$AM),"")</f>
        <v>12.85</v>
      </c>
      <c r="G50" s="133">
        <f>IFERROR(_xlfn.XLOOKUP($A50,'Raw Data'!$G:$G,'Raw Data'!$AB:$AB),"")</f>
        <v>0</v>
      </c>
      <c r="H50" s="133"/>
      <c r="I50" s="133">
        <f>IFERROR(_xlfn.XLOOKUP($A50,'Raw Data'!$G:$G,'Raw Data'!$AC:$AC),"")</f>
        <v>5.42</v>
      </c>
      <c r="J50" s="133"/>
      <c r="K50" s="133">
        <f>IFERROR(_xlfn.XLOOKUP($A50,'Raw Data'!$G:$G,'Raw Data'!AD:AD),"")</f>
        <v>0</v>
      </c>
      <c r="L50" s="133">
        <f>IFERROR(_xlfn.XLOOKUP($A50,'Raw Data'!$G:$G,'Raw Data'!AE:AE),"")</f>
        <v>41.83</v>
      </c>
      <c r="M50" s="133">
        <f>IFERROR(_xlfn.XLOOKUP($A50,'Raw Data'!$G:$G,'Raw Data'!AF:AF),"")</f>
        <v>0</v>
      </c>
      <c r="N50" s="133">
        <f>IFERROR(_xlfn.XLOOKUP($A50,'Raw Data'!$G:$G,'Raw Data'!AG:AG),"")</f>
        <v>0</v>
      </c>
      <c r="O50" s="134">
        <f>IFERROR(1-SUMIF('Plant BD'!$H:$H,$A50,'Plant BD'!$AE:$AE)/($AA50+SUMIF('Plant BD'!$H:$H,$A50,'Plant BD'!$AE:$AE)),"")</f>
        <v>0.90578817219233188</v>
      </c>
      <c r="P50" s="134"/>
      <c r="Q50" s="135"/>
      <c r="R50" s="134">
        <f>IFERROR(1-SUMIF('Grid BD'!$H:$H,$A50,'Grid BD'!$AD:$AD)/($AA50+SUMIF('Grid BD'!$H:$H,$A50,'Grid BD'!$AD:$AD)),"")</f>
        <v>0.95022585123170988</v>
      </c>
      <c r="T50" s="135"/>
      <c r="U50" s="136">
        <f t="shared" si="1"/>
        <v>0.67627750545979026</v>
      </c>
      <c r="V50" s="136"/>
      <c r="W50" s="137">
        <f t="shared" si="2"/>
        <v>0.15272600331633596</v>
      </c>
      <c r="X50" s="130">
        <f>IFERROR(_xlfn.XLOOKUP($A50,'Raw Data'!$G:$G,'Raw Data'!AI:AI),"")</f>
        <v>29638</v>
      </c>
      <c r="Y50" s="130">
        <f>IFERROR(_xlfn.XLOOKUP($A50,'Raw Data'!$G:$G,'Raw Data'!AJ:AJ),"")</f>
        <v>29500</v>
      </c>
      <c r="Z50" s="130">
        <f>IFERROR(_xlfn.XLOOKUP($A50,'Raw Data'!$G:$G,'Raw Data'!AK:AK),"")</f>
        <v>100.00000000002274</v>
      </c>
      <c r="AA50" s="130">
        <f>IFERROR(_xlfn.XLOOKUP($A50,'Raw Data'!$G:$G,'Raw Data'!AL:AL),"")</f>
        <v>29399.999999999978</v>
      </c>
      <c r="AB50" s="130">
        <f>IFERROR(_xlfn.XLOOKUP($A50,'Raw Data'!$G:$G,'Raw Data'!H:H),"")</f>
        <v>8.0208999999999993</v>
      </c>
      <c r="AC50" s="76">
        <f>IFERROR(_xlfn.XLOOKUP($D50,'Modelling New'!$D:$D,'Modelling New'!P:P),"")</f>
        <v>6.0129032258064514</v>
      </c>
      <c r="AD50" s="130">
        <f>IFERROR(_xlfn.XLOOKUP($D50,'Modelling New'!$D:$D,'Modelling New'!$T:$T)*1000,"")</f>
        <v>33577.74455581214</v>
      </c>
      <c r="AE50" s="138">
        <f>IFERROR(_xlfn.XLOOKUP($D50,'Modelling New'!$D:$D,'Modelling New'!O:O),"")</f>
        <v>0.69621632879901718</v>
      </c>
      <c r="AF50" s="137">
        <f>IFERROR(_xlfn.XLOOKUP($D50,'Modelling New'!$D:$D,'Modelling New'!W:W),"")</f>
        <v>0.17442839205394728</v>
      </c>
      <c r="AG50" s="137">
        <f>IFERROR(_xlfn.XLOOKUP($D50,'Modelling New'!$D:$D,'Modelling New'!AE:AE),"")</f>
        <v>0.98040000000000005</v>
      </c>
      <c r="AH50" s="156">
        <f>IFERROR(_xlfn.XLOOKUP($D50,'Modelling New'!$D:$D,'Modelling New'!AF:AF),"")</f>
        <v>0.98</v>
      </c>
      <c r="AN50" s="134"/>
      <c r="AO50" s="137"/>
      <c r="AP50" s="137"/>
      <c r="AQ50" s="137"/>
      <c r="AR50" s="130">
        <f>'Basic Data'!$B$98/1000</f>
        <v>8.0208999999999993</v>
      </c>
    </row>
    <row r="51" spans="1:44" x14ac:dyDescent="0.3">
      <c r="A51" s="129">
        <f t="shared" si="3"/>
        <v>45794</v>
      </c>
      <c r="B51" s="130">
        <f>YEAR(Table13[[#This Row],[Date]])+IF(MONTH(Table13[[#This Row],[Date]])&gt;=4,1,0)</f>
        <v>2026</v>
      </c>
      <c r="C51" s="7">
        <f>YEAR(Table13[[#This Row],[Date]])</f>
        <v>2025</v>
      </c>
      <c r="D51" s="131">
        <f>Table13[[#This Row],[Date]]-DAY(Table13[[#This Row],[Date]])+1</f>
        <v>45778</v>
      </c>
      <c r="E51" s="7">
        <f t="shared" si="0"/>
        <v>31</v>
      </c>
      <c r="F51" s="132">
        <f>IFERROR(_xlfn.XLOOKUP($A51,'Raw Data'!$G:$G,'Raw Data'!$AM:$AM),"")</f>
        <v>12.8</v>
      </c>
      <c r="G51" s="133">
        <f>IFERROR(_xlfn.XLOOKUP($A51,'Raw Data'!$G:$G,'Raw Data'!$AB:$AB),"")</f>
        <v>0</v>
      </c>
      <c r="H51" s="133"/>
      <c r="I51" s="133">
        <f>IFERROR(_xlfn.XLOOKUP($A51,'Raw Data'!$G:$G,'Raw Data'!$AC:$AC),"")</f>
        <v>5.27</v>
      </c>
      <c r="J51" s="133"/>
      <c r="K51" s="133">
        <f>IFERROR(_xlfn.XLOOKUP($A51,'Raw Data'!$G:$G,'Raw Data'!AD:AD),"")</f>
        <v>0</v>
      </c>
      <c r="L51" s="133">
        <f>IFERROR(_xlfn.XLOOKUP($A51,'Raw Data'!$G:$G,'Raw Data'!AE:AE),"")</f>
        <v>40.74</v>
      </c>
      <c r="M51" s="133">
        <f>IFERROR(_xlfn.XLOOKUP($A51,'Raw Data'!$G:$G,'Raw Data'!AF:AF),"")</f>
        <v>0</v>
      </c>
      <c r="N51" s="133">
        <f>IFERROR(_xlfn.XLOOKUP($A51,'Raw Data'!$G:$G,'Raw Data'!AG:AG),"")</f>
        <v>0</v>
      </c>
      <c r="O51" s="134">
        <f>IFERROR(1-SUMIF('Plant BD'!$H:$H,$A51,'Plant BD'!$AE:$AE)/($AA51+SUMIF('Plant BD'!$H:$H,$A51,'Plant BD'!$AE:$AE)),"")</f>
        <v>1</v>
      </c>
      <c r="P51" s="134"/>
      <c r="Q51" s="135"/>
      <c r="R51" s="134">
        <f>IFERROR(1-SUMIF('Grid BD'!$H:$H,$A51,'Grid BD'!$AD:$AD)/($AA51+SUMIF('Grid BD'!$H:$H,$A51,'Grid BD'!$AD:$AD)),"")</f>
        <v>0.96589227822582657</v>
      </c>
      <c r="T51" s="135"/>
      <c r="U51" s="136">
        <f t="shared" si="1"/>
        <v>0.75230405537092149</v>
      </c>
      <c r="V51" s="136"/>
      <c r="W51" s="137">
        <f t="shared" si="2"/>
        <v>0.16519343215853147</v>
      </c>
      <c r="X51" s="130">
        <f>IFERROR(_xlfn.XLOOKUP($A51,'Raw Data'!$G:$G,'Raw Data'!AI:AI),"")</f>
        <v>32209.8</v>
      </c>
      <c r="Y51" s="130">
        <f>IFERROR(_xlfn.XLOOKUP($A51,'Raw Data'!$G:$G,'Raw Data'!AJ:AJ),"")</f>
        <v>31900.000000008731</v>
      </c>
      <c r="Z51" s="130">
        <f>IFERROR(_xlfn.XLOOKUP($A51,'Raw Data'!$G:$G,'Raw Data'!AK:AK),"")</f>
        <v>99.999999999965894</v>
      </c>
      <c r="AA51" s="130">
        <f>IFERROR(_xlfn.XLOOKUP($A51,'Raw Data'!$G:$G,'Raw Data'!AL:AL),"")</f>
        <v>31800.000000008764</v>
      </c>
      <c r="AB51" s="130">
        <f>IFERROR(_xlfn.XLOOKUP($A51,'Raw Data'!$G:$G,'Raw Data'!H:H),"")</f>
        <v>8.0208999999999993</v>
      </c>
      <c r="AC51" s="76">
        <f>IFERROR(_xlfn.XLOOKUP($D51,'Modelling New'!$D:$D,'Modelling New'!P:P),"")</f>
        <v>6.0129032258064514</v>
      </c>
      <c r="AD51" s="130">
        <f>IFERROR(_xlfn.XLOOKUP($D51,'Modelling New'!$D:$D,'Modelling New'!$T:$T)*1000,"")</f>
        <v>33577.74455581214</v>
      </c>
      <c r="AE51" s="138">
        <f>IFERROR(_xlfn.XLOOKUP($D51,'Modelling New'!$D:$D,'Modelling New'!O:O),"")</f>
        <v>0.69621632879901718</v>
      </c>
      <c r="AF51" s="137">
        <f>IFERROR(_xlfn.XLOOKUP($D51,'Modelling New'!$D:$D,'Modelling New'!W:W),"")</f>
        <v>0.17442839205394728</v>
      </c>
      <c r="AG51" s="137">
        <f>IFERROR(_xlfn.XLOOKUP($D51,'Modelling New'!$D:$D,'Modelling New'!AE:AE),"")</f>
        <v>0.98040000000000005</v>
      </c>
      <c r="AH51" s="156">
        <f>IFERROR(_xlfn.XLOOKUP($D51,'Modelling New'!$D:$D,'Modelling New'!AF:AF),"")</f>
        <v>0.98</v>
      </c>
      <c r="AN51" s="134"/>
      <c r="AO51" s="137"/>
      <c r="AP51" s="137"/>
      <c r="AQ51" s="137"/>
      <c r="AR51" s="130">
        <f>'Basic Data'!$B$98/1000</f>
        <v>8.0208999999999993</v>
      </c>
    </row>
    <row r="52" spans="1:44" x14ac:dyDescent="0.3">
      <c r="A52" s="129">
        <f t="shared" si="3"/>
        <v>45795</v>
      </c>
      <c r="B52" s="130">
        <f>YEAR(Table13[[#This Row],[Date]])+IF(MONTH(Table13[[#This Row],[Date]])&gt;=4,1,0)</f>
        <v>2026</v>
      </c>
      <c r="C52" s="7">
        <f>YEAR(Table13[[#This Row],[Date]])</f>
        <v>2025</v>
      </c>
      <c r="D52" s="131">
        <f>Table13[[#This Row],[Date]]-DAY(Table13[[#This Row],[Date]])+1</f>
        <v>45778</v>
      </c>
      <c r="E52" s="7">
        <f t="shared" si="0"/>
        <v>31</v>
      </c>
      <c r="F52" s="132">
        <f>IFERROR(_xlfn.XLOOKUP($A52,'Raw Data'!$G:$G,'Raw Data'!$AM:$AM),"")</f>
        <v>12.65</v>
      </c>
      <c r="G52" s="133">
        <f>IFERROR(_xlfn.XLOOKUP($A52,'Raw Data'!$G:$G,'Raw Data'!$AB:$AB),"")</f>
        <v>0</v>
      </c>
      <c r="H52" s="133"/>
      <c r="I52" s="133">
        <f>IFERROR(_xlfn.XLOOKUP($A52,'Raw Data'!$G:$G,'Raw Data'!$AC:$AC),"")</f>
        <v>5.23</v>
      </c>
      <c r="J52" s="133"/>
      <c r="K52" s="133">
        <f>IFERROR(_xlfn.XLOOKUP($A52,'Raw Data'!$G:$G,'Raw Data'!AD:AD),"")</f>
        <v>0</v>
      </c>
      <c r="L52" s="133">
        <f>IFERROR(_xlfn.XLOOKUP($A52,'Raw Data'!$G:$G,'Raw Data'!AE:AE),"")</f>
        <v>41.05</v>
      </c>
      <c r="M52" s="133">
        <f>IFERROR(_xlfn.XLOOKUP($A52,'Raw Data'!$G:$G,'Raw Data'!AF:AF),"")</f>
        <v>0</v>
      </c>
      <c r="N52" s="133">
        <f>IFERROR(_xlfn.XLOOKUP($A52,'Raw Data'!$G:$G,'Raw Data'!AG:AG),"")</f>
        <v>0</v>
      </c>
      <c r="O52" s="134">
        <f>IFERROR(1-SUMIF('Plant BD'!$H:$H,$A52,'Plant BD'!$AE:$AE)/($AA52+SUMIF('Plant BD'!$H:$H,$A52,'Plant BD'!$AE:$AE)),"")</f>
        <v>1</v>
      </c>
      <c r="P52" s="134"/>
      <c r="Q52" s="135"/>
      <c r="R52" s="134">
        <f>IFERROR(1-SUMIF('Grid BD'!$H:$H,$A52,'Grid BD'!$AD:$AD)/($AA52+SUMIF('Grid BD'!$H:$H,$A52,'Grid BD'!$AD:$AD)),"")</f>
        <v>0.5940846332968267</v>
      </c>
      <c r="T52" s="135"/>
      <c r="U52" s="136">
        <f t="shared" si="1"/>
        <v>0.51490719501032678</v>
      </c>
      <c r="V52" s="136"/>
      <c r="W52" s="137">
        <f t="shared" si="2"/>
        <v>0.11220685957933371</v>
      </c>
      <c r="X52" s="130">
        <f>IFERROR(_xlfn.XLOOKUP($A52,'Raw Data'!$G:$G,'Raw Data'!AI:AI),"")</f>
        <v>21889.199999999997</v>
      </c>
      <c r="Y52" s="130">
        <f>IFERROR(_xlfn.XLOOKUP($A52,'Raw Data'!$G:$G,'Raw Data'!AJ:AJ),"")</f>
        <v>21699.99999999709</v>
      </c>
      <c r="Z52" s="130">
        <f>IFERROR(_xlfn.XLOOKUP($A52,'Raw Data'!$G:$G,'Raw Data'!AK:AK),"")</f>
        <v>100.00000000002274</v>
      </c>
      <c r="AA52" s="130">
        <f>IFERROR(_xlfn.XLOOKUP($A52,'Raw Data'!$G:$G,'Raw Data'!AL:AL),"")</f>
        <v>21599.999999997068</v>
      </c>
      <c r="AB52" s="130">
        <f>IFERROR(_xlfn.XLOOKUP($A52,'Raw Data'!$G:$G,'Raw Data'!H:H),"")</f>
        <v>8.0208999999999993</v>
      </c>
      <c r="AC52" s="76">
        <f>IFERROR(_xlfn.XLOOKUP($D52,'Modelling New'!$D:$D,'Modelling New'!P:P),"")</f>
        <v>6.0129032258064514</v>
      </c>
      <c r="AD52" s="130">
        <f>IFERROR(_xlfn.XLOOKUP($D52,'Modelling New'!$D:$D,'Modelling New'!$T:$T)*1000,"")</f>
        <v>33577.74455581214</v>
      </c>
      <c r="AE52" s="138">
        <f>IFERROR(_xlfn.XLOOKUP($D52,'Modelling New'!$D:$D,'Modelling New'!O:O),"")</f>
        <v>0.69621632879901718</v>
      </c>
      <c r="AF52" s="137">
        <f>IFERROR(_xlfn.XLOOKUP($D52,'Modelling New'!$D:$D,'Modelling New'!W:W),"")</f>
        <v>0.17442839205394728</v>
      </c>
      <c r="AG52" s="137">
        <f>IFERROR(_xlfn.XLOOKUP($D52,'Modelling New'!$D:$D,'Modelling New'!AE:AE),"")</f>
        <v>0.98040000000000005</v>
      </c>
      <c r="AH52" s="156">
        <f>IFERROR(_xlfn.XLOOKUP($D52,'Modelling New'!$D:$D,'Modelling New'!AF:AF),"")</f>
        <v>0.98</v>
      </c>
      <c r="AN52" s="134"/>
      <c r="AO52" s="137"/>
      <c r="AP52" s="137"/>
      <c r="AQ52" s="137"/>
      <c r="AR52" s="130">
        <f>'Basic Data'!$B$98/1000</f>
        <v>8.0208999999999993</v>
      </c>
    </row>
    <row r="53" spans="1:44" x14ac:dyDescent="0.3">
      <c r="A53" s="129">
        <f t="shared" si="3"/>
        <v>45796</v>
      </c>
      <c r="B53" s="130">
        <f>YEAR(Table13[[#This Row],[Date]])+IF(MONTH(Table13[[#This Row],[Date]])&gt;=4,1,0)</f>
        <v>2026</v>
      </c>
      <c r="C53" s="7">
        <f>YEAR(Table13[[#This Row],[Date]])</f>
        <v>2025</v>
      </c>
      <c r="D53" s="131">
        <f>Table13[[#This Row],[Date]]-DAY(Table13[[#This Row],[Date]])+1</f>
        <v>45778</v>
      </c>
      <c r="E53" s="7">
        <f t="shared" ref="E53:E116" si="4">DAY(EOMONTH(A53,0))</f>
        <v>31</v>
      </c>
      <c r="F53" s="132">
        <f>IFERROR(_xlfn.XLOOKUP($A53,'Raw Data'!$G:$G,'Raw Data'!$AM:$AM),"")</f>
        <v>12.8</v>
      </c>
      <c r="G53" s="133">
        <f>IFERROR(_xlfn.XLOOKUP($A53,'Raw Data'!$G:$G,'Raw Data'!$AB:$AB),"")</f>
        <v>0</v>
      </c>
      <c r="H53" s="133"/>
      <c r="I53" s="133">
        <f>IFERROR(_xlfn.XLOOKUP($A53,'Raw Data'!$G:$G,'Raw Data'!$AC:$AC),"")</f>
        <v>4.91</v>
      </c>
      <c r="J53" s="133"/>
      <c r="K53" s="133">
        <f>IFERROR(_xlfn.XLOOKUP($A53,'Raw Data'!$G:$G,'Raw Data'!AD:AD),"")</f>
        <v>0</v>
      </c>
      <c r="L53" s="133">
        <f>IFERROR(_xlfn.XLOOKUP($A53,'Raw Data'!$G:$G,'Raw Data'!AE:AE),"")</f>
        <v>40.53</v>
      </c>
      <c r="M53" s="133">
        <f>IFERROR(_xlfn.XLOOKUP($A53,'Raw Data'!$G:$G,'Raw Data'!AF:AF),"")</f>
        <v>0</v>
      </c>
      <c r="N53" s="133">
        <f>IFERROR(_xlfn.XLOOKUP($A53,'Raw Data'!$G:$G,'Raw Data'!AG:AG),"")</f>
        <v>0</v>
      </c>
      <c r="O53" s="134">
        <f>IFERROR(1-SUMIF('Plant BD'!$H:$H,$A53,'Plant BD'!$AE:$AE)/($AA53+SUMIF('Plant BD'!$H:$H,$A53,'Plant BD'!$AE:$AE)),"")</f>
        <v>1</v>
      </c>
      <c r="P53" s="134"/>
      <c r="Q53" s="135"/>
      <c r="R53" s="134">
        <f>IFERROR(1-SUMIF('Grid BD'!$H:$H,$A53,'Grid BD'!$AD:$AD)/($AA53+SUMIF('Grid BD'!$H:$H,$A53,'Grid BD'!$AD:$AD)),"")</f>
        <v>0.90292296720390663</v>
      </c>
      <c r="T53" s="135"/>
      <c r="U53" s="136">
        <f t="shared" ref="U53:U116" si="5">IFERROR(AA53/I53/AB53/1000,"")</f>
        <v>0.71605192128037354</v>
      </c>
      <c r="V53" s="136"/>
      <c r="W53" s="137">
        <f t="shared" ref="W53:W116" si="6">IFERROR(AA53/(24*AB53*1000),"")</f>
        <v>0.14649228889527641</v>
      </c>
      <c r="X53" s="130">
        <f>IFERROR(_xlfn.XLOOKUP($A53,'Raw Data'!$G:$G,'Raw Data'!AI:AI),"")</f>
        <v>28476.9</v>
      </c>
      <c r="Y53" s="130">
        <f>IFERROR(_xlfn.XLOOKUP($A53,'Raw Data'!$G:$G,'Raw Data'!AJ:AJ),"")</f>
        <v>28300.00000000291</v>
      </c>
      <c r="Z53" s="130">
        <f>IFERROR(_xlfn.XLOOKUP($A53,'Raw Data'!$G:$G,'Raw Data'!AK:AK),"")</f>
        <v>99.999999999965894</v>
      </c>
      <c r="AA53" s="130">
        <f>IFERROR(_xlfn.XLOOKUP($A53,'Raw Data'!$G:$G,'Raw Data'!AL:AL),"")</f>
        <v>28200.000000002943</v>
      </c>
      <c r="AB53" s="130">
        <f>IFERROR(_xlfn.XLOOKUP($A53,'Raw Data'!$G:$G,'Raw Data'!H:H),"")</f>
        <v>8.0208999999999993</v>
      </c>
      <c r="AC53" s="76">
        <f>IFERROR(_xlfn.XLOOKUP($D53,'Modelling New'!$D:$D,'Modelling New'!P:P),"")</f>
        <v>6.0129032258064514</v>
      </c>
      <c r="AD53" s="130">
        <f>IFERROR(_xlfn.XLOOKUP($D53,'Modelling New'!$D:$D,'Modelling New'!$T:$T)*1000,"")</f>
        <v>33577.74455581214</v>
      </c>
      <c r="AE53" s="138">
        <f>IFERROR(_xlfn.XLOOKUP($D53,'Modelling New'!$D:$D,'Modelling New'!O:O),"")</f>
        <v>0.69621632879901718</v>
      </c>
      <c r="AF53" s="137">
        <f>IFERROR(_xlfn.XLOOKUP($D53,'Modelling New'!$D:$D,'Modelling New'!W:W),"")</f>
        <v>0.17442839205394728</v>
      </c>
      <c r="AG53" s="137">
        <f>IFERROR(_xlfn.XLOOKUP($D53,'Modelling New'!$D:$D,'Modelling New'!AE:AE),"")</f>
        <v>0.98040000000000005</v>
      </c>
      <c r="AH53" s="156">
        <f>IFERROR(_xlfn.XLOOKUP($D53,'Modelling New'!$D:$D,'Modelling New'!AF:AF),"")</f>
        <v>0.98</v>
      </c>
      <c r="AN53" s="134"/>
      <c r="AO53" s="137"/>
      <c r="AP53" s="137"/>
      <c r="AQ53" s="137"/>
      <c r="AR53" s="130">
        <f>'Basic Data'!$B$98/1000</f>
        <v>8.0208999999999993</v>
      </c>
    </row>
    <row r="54" spans="1:44" x14ac:dyDescent="0.3">
      <c r="A54" s="129">
        <f t="shared" ref="A54:A117" si="7">A53+1</f>
        <v>45797</v>
      </c>
      <c r="B54" s="130">
        <f>YEAR(Table13[[#This Row],[Date]])+IF(MONTH(Table13[[#This Row],[Date]])&gt;=4,1,0)</f>
        <v>2026</v>
      </c>
      <c r="C54" s="7">
        <f>YEAR(Table13[[#This Row],[Date]])</f>
        <v>2025</v>
      </c>
      <c r="D54" s="131">
        <f>Table13[[#This Row],[Date]]-DAY(Table13[[#This Row],[Date]])+1</f>
        <v>45778</v>
      </c>
      <c r="E54" s="7">
        <f t="shared" si="4"/>
        <v>31</v>
      </c>
      <c r="F54" s="132">
        <f>IFERROR(_xlfn.XLOOKUP($A54,'Raw Data'!$G:$G,'Raw Data'!$AM:$AM),"")</f>
        <v>12.716666666666667</v>
      </c>
      <c r="G54" s="133">
        <f>IFERROR(_xlfn.XLOOKUP($A54,'Raw Data'!$G:$G,'Raw Data'!$AB:$AB),"")</f>
        <v>0</v>
      </c>
      <c r="H54" s="133"/>
      <c r="I54" s="133">
        <f>IFERROR(_xlfn.XLOOKUP($A54,'Raw Data'!$G:$G,'Raw Data'!$AC:$AC),"")</f>
        <v>4.84</v>
      </c>
      <c r="J54" s="133"/>
      <c r="K54" s="133">
        <f>IFERROR(_xlfn.XLOOKUP($A54,'Raw Data'!$G:$G,'Raw Data'!AD:AD),"")</f>
        <v>0</v>
      </c>
      <c r="L54" s="133">
        <f>IFERROR(_xlfn.XLOOKUP($A54,'Raw Data'!$G:$G,'Raw Data'!AE:AE),"")</f>
        <v>40.06</v>
      </c>
      <c r="M54" s="133">
        <f>IFERROR(_xlfn.XLOOKUP($A54,'Raw Data'!$G:$G,'Raw Data'!AF:AF),"")</f>
        <v>0</v>
      </c>
      <c r="N54" s="133">
        <f>IFERROR(_xlfn.XLOOKUP($A54,'Raw Data'!$G:$G,'Raw Data'!AG:AG),"")</f>
        <v>0</v>
      </c>
      <c r="O54" s="134">
        <f>IFERROR(1-SUMIF('Plant BD'!$H:$H,$A54,'Plant BD'!$AE:$AE)/($AA54+SUMIF('Plant BD'!$H:$H,$A54,'Plant BD'!$AE:$AE)),"")</f>
        <v>0.98037522916037689</v>
      </c>
      <c r="P54" s="134"/>
      <c r="Q54" s="135"/>
      <c r="R54" s="134">
        <f>IFERROR(1-SUMIF('Grid BD'!$H:$H,$A54,'Grid BD'!$AD:$AD)/($AA54+SUMIF('Grid BD'!$H:$H,$A54,'Grid BD'!$AD:$AD)),"")</f>
        <v>1</v>
      </c>
      <c r="T54" s="135"/>
      <c r="U54" s="136">
        <f t="shared" si="5"/>
        <v>0.77277451500906491</v>
      </c>
      <c r="V54" s="136"/>
      <c r="W54" s="137">
        <f t="shared" si="6"/>
        <v>0.15584286052682808</v>
      </c>
      <c r="X54" s="130">
        <f>IFERROR(_xlfn.XLOOKUP($A54,'Raw Data'!$G:$G,'Raw Data'!AI:AI),"")</f>
        <v>30308.400000000001</v>
      </c>
      <c r="Y54" s="130">
        <f>IFERROR(_xlfn.XLOOKUP($A54,'Raw Data'!$G:$G,'Raw Data'!AJ:AJ),"")</f>
        <v>30099.999999991269</v>
      </c>
      <c r="Z54" s="130">
        <f>IFERROR(_xlfn.XLOOKUP($A54,'Raw Data'!$G:$G,'Raw Data'!AK:AK),"")</f>
        <v>100.00000000002274</v>
      </c>
      <c r="AA54" s="130">
        <f>IFERROR(_xlfn.XLOOKUP($A54,'Raw Data'!$G:$G,'Raw Data'!AL:AL),"")</f>
        <v>29999.999999991247</v>
      </c>
      <c r="AB54" s="130">
        <f>IFERROR(_xlfn.XLOOKUP($A54,'Raw Data'!$G:$G,'Raw Data'!H:H),"")</f>
        <v>8.0208999999999993</v>
      </c>
      <c r="AC54" s="76">
        <f>IFERROR(_xlfn.XLOOKUP($D54,'Modelling New'!$D:$D,'Modelling New'!P:P),"")</f>
        <v>6.0129032258064514</v>
      </c>
      <c r="AD54" s="130">
        <f>IFERROR(_xlfn.XLOOKUP($D54,'Modelling New'!$D:$D,'Modelling New'!$T:$T)*1000,"")</f>
        <v>33577.74455581214</v>
      </c>
      <c r="AE54" s="138">
        <f>IFERROR(_xlfn.XLOOKUP($D54,'Modelling New'!$D:$D,'Modelling New'!O:O),"")</f>
        <v>0.69621632879901718</v>
      </c>
      <c r="AF54" s="137">
        <f>IFERROR(_xlfn.XLOOKUP($D54,'Modelling New'!$D:$D,'Modelling New'!W:W),"")</f>
        <v>0.17442839205394728</v>
      </c>
      <c r="AG54" s="137">
        <f>IFERROR(_xlfn.XLOOKUP($D54,'Modelling New'!$D:$D,'Modelling New'!AE:AE),"")</f>
        <v>0.98040000000000005</v>
      </c>
      <c r="AH54" s="156">
        <f>IFERROR(_xlfn.XLOOKUP($D54,'Modelling New'!$D:$D,'Modelling New'!AF:AF),"")</f>
        <v>0.98</v>
      </c>
      <c r="AN54" s="134"/>
      <c r="AO54" s="137"/>
      <c r="AP54" s="137"/>
      <c r="AQ54" s="137"/>
      <c r="AR54" s="130">
        <f>'Basic Data'!$B$98/1000</f>
        <v>8.0208999999999993</v>
      </c>
    </row>
    <row r="55" spans="1:44" x14ac:dyDescent="0.3">
      <c r="A55" s="129">
        <f t="shared" si="7"/>
        <v>45798</v>
      </c>
      <c r="B55" s="130">
        <f>YEAR(Table13[[#This Row],[Date]])+IF(MONTH(Table13[[#This Row],[Date]])&gt;=4,1,0)</f>
        <v>2026</v>
      </c>
      <c r="C55" s="7">
        <f>YEAR(Table13[[#This Row],[Date]])</f>
        <v>2025</v>
      </c>
      <c r="D55" s="131">
        <f>Table13[[#This Row],[Date]]-DAY(Table13[[#This Row],[Date]])+1</f>
        <v>45778</v>
      </c>
      <c r="E55" s="7">
        <f t="shared" si="4"/>
        <v>31</v>
      </c>
      <c r="F55" s="132">
        <f>IFERROR(_xlfn.XLOOKUP($A55,'Raw Data'!$G:$G,'Raw Data'!$AM:$AM),"")</f>
        <v>12.833333333333332</v>
      </c>
      <c r="G55" s="133">
        <f>IFERROR(_xlfn.XLOOKUP($A55,'Raw Data'!$G:$G,'Raw Data'!$AB:$AB),"")</f>
        <v>0</v>
      </c>
      <c r="H55" s="133"/>
      <c r="I55" s="133">
        <f>IFERROR(_xlfn.XLOOKUP($A55,'Raw Data'!$G:$G,'Raw Data'!$AC:$AC),"")</f>
        <v>3.26</v>
      </c>
      <c r="J55" s="133"/>
      <c r="K55" s="133">
        <f>IFERROR(_xlfn.XLOOKUP($A55,'Raw Data'!$G:$G,'Raw Data'!AD:AD),"")</f>
        <v>0</v>
      </c>
      <c r="L55" s="133">
        <f>IFERROR(_xlfn.XLOOKUP($A55,'Raw Data'!$G:$G,'Raw Data'!AE:AE),"")</f>
        <v>33.83</v>
      </c>
      <c r="M55" s="133">
        <f>IFERROR(_xlfn.XLOOKUP($A55,'Raw Data'!$G:$G,'Raw Data'!AF:AF),"")</f>
        <v>0</v>
      </c>
      <c r="N55" s="133">
        <f>IFERROR(_xlfn.XLOOKUP($A55,'Raw Data'!$G:$G,'Raw Data'!AG:AG),"")</f>
        <v>0</v>
      </c>
      <c r="O55" s="134">
        <f>IFERROR(1-SUMIF('Plant BD'!$H:$H,$A55,'Plant BD'!$AE:$AE)/($AA55+SUMIF('Plant BD'!$H:$H,$A55,'Plant BD'!$AE:$AE)),"")</f>
        <v>1</v>
      </c>
      <c r="P55" s="134"/>
      <c r="Q55" s="135"/>
      <c r="R55" s="134">
        <f>IFERROR(1-SUMIF('Grid BD'!$H:$H,$A55,'Grid BD'!$AD:$AD)/($AA55+SUMIF('Grid BD'!$H:$H,$A55,'Grid BD'!$AD:$AD)),"")</f>
        <v>0.97852362157240758</v>
      </c>
      <c r="T55" s="135"/>
      <c r="U55" s="136">
        <f t="shared" si="5"/>
        <v>0.76869729977717038</v>
      </c>
      <c r="V55" s="136"/>
      <c r="W55" s="137">
        <f t="shared" si="6"/>
        <v>0.10441471655306563</v>
      </c>
      <c r="X55" s="130">
        <f>IFERROR(_xlfn.XLOOKUP($A55,'Raw Data'!$G:$G,'Raw Data'!AI:AI),"")</f>
        <v>20402.3</v>
      </c>
      <c r="Y55" s="130">
        <f>IFERROR(_xlfn.XLOOKUP($A55,'Raw Data'!$G:$G,'Raw Data'!AJ:AJ),"")</f>
        <v>20200.000000011642</v>
      </c>
      <c r="Z55" s="130">
        <f>IFERROR(_xlfn.XLOOKUP($A55,'Raw Data'!$G:$G,'Raw Data'!AK:AK),"")</f>
        <v>100.00000000002274</v>
      </c>
      <c r="AA55" s="130">
        <f>IFERROR(_xlfn.XLOOKUP($A55,'Raw Data'!$G:$G,'Raw Data'!AL:AL),"")</f>
        <v>20100.00000001162</v>
      </c>
      <c r="AB55" s="130">
        <f>IFERROR(_xlfn.XLOOKUP($A55,'Raw Data'!$G:$G,'Raw Data'!H:H),"")</f>
        <v>8.0208999999999993</v>
      </c>
      <c r="AC55" s="76">
        <f>IFERROR(_xlfn.XLOOKUP($D55,'Modelling New'!$D:$D,'Modelling New'!P:P),"")</f>
        <v>6.0129032258064514</v>
      </c>
      <c r="AD55" s="130">
        <f>IFERROR(_xlfn.XLOOKUP($D55,'Modelling New'!$D:$D,'Modelling New'!$T:$T)*1000,"")</f>
        <v>33577.74455581214</v>
      </c>
      <c r="AE55" s="138">
        <f>IFERROR(_xlfn.XLOOKUP($D55,'Modelling New'!$D:$D,'Modelling New'!O:O),"")</f>
        <v>0.69621632879901718</v>
      </c>
      <c r="AF55" s="137">
        <f>IFERROR(_xlfn.XLOOKUP($D55,'Modelling New'!$D:$D,'Modelling New'!W:W),"")</f>
        <v>0.17442839205394728</v>
      </c>
      <c r="AG55" s="137">
        <f>IFERROR(_xlfn.XLOOKUP($D55,'Modelling New'!$D:$D,'Modelling New'!AE:AE),"")</f>
        <v>0.98040000000000005</v>
      </c>
      <c r="AH55" s="156">
        <f>IFERROR(_xlfn.XLOOKUP($D55,'Modelling New'!$D:$D,'Modelling New'!AF:AF),"")</f>
        <v>0.98</v>
      </c>
      <c r="AN55" s="134"/>
      <c r="AO55" s="137"/>
      <c r="AP55" s="137"/>
      <c r="AQ55" s="137"/>
      <c r="AR55" s="130">
        <f>'Basic Data'!$B$98/1000</f>
        <v>8.0208999999999993</v>
      </c>
    </row>
    <row r="56" spans="1:44" x14ac:dyDescent="0.3">
      <c r="A56" s="129">
        <f t="shared" si="7"/>
        <v>45799</v>
      </c>
      <c r="B56" s="130">
        <f>YEAR(Table13[[#This Row],[Date]])+IF(MONTH(Table13[[#This Row],[Date]])&gt;=4,1,0)</f>
        <v>2026</v>
      </c>
      <c r="C56" s="7">
        <f>YEAR(Table13[[#This Row],[Date]])</f>
        <v>2025</v>
      </c>
      <c r="D56" s="131">
        <f>Table13[[#This Row],[Date]]-DAY(Table13[[#This Row],[Date]])+1</f>
        <v>45778</v>
      </c>
      <c r="E56" s="7">
        <f t="shared" si="4"/>
        <v>31</v>
      </c>
      <c r="F56" s="132">
        <f>IFERROR(_xlfn.XLOOKUP($A56,'Raw Data'!$G:$G,'Raw Data'!$AM:$AM),"")</f>
        <v>12.533333333333335</v>
      </c>
      <c r="G56" s="133">
        <f>IFERROR(_xlfn.XLOOKUP($A56,'Raw Data'!$G:$G,'Raw Data'!$AB:$AB),"")</f>
        <v>0</v>
      </c>
      <c r="H56" s="133"/>
      <c r="I56" s="133">
        <f>IFERROR(_xlfn.XLOOKUP($A56,'Raw Data'!$G:$G,'Raw Data'!$AC:$AC),"")</f>
        <v>5.56</v>
      </c>
      <c r="J56" s="133"/>
      <c r="K56" s="133">
        <f>IFERROR(_xlfn.XLOOKUP($A56,'Raw Data'!$G:$G,'Raw Data'!AD:AD),"")</f>
        <v>0</v>
      </c>
      <c r="L56" s="133">
        <f>IFERROR(_xlfn.XLOOKUP($A56,'Raw Data'!$G:$G,'Raw Data'!AE:AE),"")</f>
        <v>48.87</v>
      </c>
      <c r="M56" s="133">
        <f>IFERROR(_xlfn.XLOOKUP($A56,'Raw Data'!$G:$G,'Raw Data'!AF:AF),"")</f>
        <v>0</v>
      </c>
      <c r="N56" s="133">
        <f>IFERROR(_xlfn.XLOOKUP($A56,'Raw Data'!$G:$G,'Raw Data'!AG:AG),"")</f>
        <v>0</v>
      </c>
      <c r="O56" s="134">
        <f>IFERROR(1-SUMIF('Plant BD'!$H:$H,$A56,'Plant BD'!$AE:$AE)/($AA56+SUMIF('Plant BD'!$H:$H,$A56,'Plant BD'!$AE:$AE)),"")</f>
        <v>0.99736697558977216</v>
      </c>
      <c r="P56" s="134"/>
      <c r="Q56" s="135"/>
      <c r="R56" s="134">
        <f>IFERROR(1-SUMIF('Grid BD'!$H:$H,$A56,'Grid BD'!$AD:$AD)/($AA56+SUMIF('Grid BD'!$H:$H,$A56,'Grid BD'!$AD:$AD)),"")</f>
        <v>0.76185879429003744</v>
      </c>
      <c r="T56" s="135"/>
      <c r="U56" s="136">
        <f t="shared" si="5"/>
        <v>0.60991738220563341</v>
      </c>
      <c r="V56" s="136"/>
      <c r="W56" s="137">
        <f t="shared" si="6"/>
        <v>0.14129752687763836</v>
      </c>
      <c r="X56" s="130">
        <f>IFERROR(_xlfn.XLOOKUP($A56,'Raw Data'!$G:$G,'Raw Data'!AI:AI),"")</f>
        <v>27545.8</v>
      </c>
      <c r="Y56" s="130">
        <f>IFERROR(_xlfn.XLOOKUP($A56,'Raw Data'!$G:$G,'Raw Data'!AJ:AJ),"")</f>
        <v>27299.999999988358</v>
      </c>
      <c r="Z56" s="130">
        <f>IFERROR(_xlfn.XLOOKUP($A56,'Raw Data'!$G:$G,'Raw Data'!AK:AK),"")</f>
        <v>99.999999999965894</v>
      </c>
      <c r="AA56" s="130">
        <f>IFERROR(_xlfn.XLOOKUP($A56,'Raw Data'!$G:$G,'Raw Data'!AL:AL),"")</f>
        <v>27199.999999988391</v>
      </c>
      <c r="AB56" s="130">
        <f>IFERROR(_xlfn.XLOOKUP($A56,'Raw Data'!$G:$G,'Raw Data'!H:H),"")</f>
        <v>8.0208999999999993</v>
      </c>
      <c r="AC56" s="76">
        <f>IFERROR(_xlfn.XLOOKUP($D56,'Modelling New'!$D:$D,'Modelling New'!P:P),"")</f>
        <v>6.0129032258064514</v>
      </c>
      <c r="AD56" s="130">
        <f>IFERROR(_xlfn.XLOOKUP($D56,'Modelling New'!$D:$D,'Modelling New'!$T:$T)*1000,"")</f>
        <v>33577.74455581214</v>
      </c>
      <c r="AE56" s="138">
        <f>IFERROR(_xlfn.XLOOKUP($D56,'Modelling New'!$D:$D,'Modelling New'!O:O),"")</f>
        <v>0.69621632879901718</v>
      </c>
      <c r="AF56" s="137">
        <f>IFERROR(_xlfn.XLOOKUP($D56,'Modelling New'!$D:$D,'Modelling New'!W:W),"")</f>
        <v>0.17442839205394728</v>
      </c>
      <c r="AG56" s="137">
        <f>IFERROR(_xlfn.XLOOKUP($D56,'Modelling New'!$D:$D,'Modelling New'!AE:AE),"")</f>
        <v>0.98040000000000005</v>
      </c>
      <c r="AH56" s="156">
        <f>IFERROR(_xlfn.XLOOKUP($D56,'Modelling New'!$D:$D,'Modelling New'!AF:AF),"")</f>
        <v>0.98</v>
      </c>
      <c r="AN56" s="134"/>
      <c r="AO56" s="137"/>
      <c r="AP56" s="137"/>
      <c r="AQ56" s="137"/>
      <c r="AR56" s="130">
        <f>'Basic Data'!$B$98/1000</f>
        <v>8.0208999999999993</v>
      </c>
    </row>
    <row r="57" spans="1:44" x14ac:dyDescent="0.3">
      <c r="A57" s="129">
        <f t="shared" si="7"/>
        <v>45800</v>
      </c>
      <c r="B57" s="130">
        <f>YEAR(Table13[[#This Row],[Date]])+IF(MONTH(Table13[[#This Row],[Date]])&gt;=4,1,0)</f>
        <v>2026</v>
      </c>
      <c r="C57" s="7">
        <f>YEAR(Table13[[#This Row],[Date]])</f>
        <v>2025</v>
      </c>
      <c r="D57" s="131">
        <f>Table13[[#This Row],[Date]]-DAY(Table13[[#This Row],[Date]])+1</f>
        <v>45778</v>
      </c>
      <c r="E57" s="7">
        <f t="shared" si="4"/>
        <v>31</v>
      </c>
      <c r="F57" s="132">
        <f>IFERROR(_xlfn.XLOOKUP($A57,'Raw Data'!$G:$G,'Raw Data'!$AM:$AM),"")</f>
        <v>12.833333333333332</v>
      </c>
      <c r="G57" s="133">
        <f>IFERROR(_xlfn.XLOOKUP($A57,'Raw Data'!$G:$G,'Raw Data'!$AB:$AB),"")</f>
        <v>0</v>
      </c>
      <c r="H57" s="133"/>
      <c r="I57" s="133">
        <f>IFERROR(_xlfn.XLOOKUP($A57,'Raw Data'!$G:$G,'Raw Data'!$AC:$AC),"")</f>
        <v>5.31</v>
      </c>
      <c r="J57" s="133"/>
      <c r="K57" s="133">
        <f>IFERROR(_xlfn.XLOOKUP($A57,'Raw Data'!$G:$G,'Raw Data'!AD:AD),"")</f>
        <v>0</v>
      </c>
      <c r="L57" s="133">
        <f>IFERROR(_xlfn.XLOOKUP($A57,'Raw Data'!$G:$G,'Raw Data'!AE:AE),"")</f>
        <v>36.07</v>
      </c>
      <c r="M57" s="133">
        <f>IFERROR(_xlfn.XLOOKUP($A57,'Raw Data'!$G:$G,'Raw Data'!AF:AF),"")</f>
        <v>0</v>
      </c>
      <c r="N57" s="133">
        <f>IFERROR(_xlfn.XLOOKUP($A57,'Raw Data'!$G:$G,'Raw Data'!AG:AG),"")</f>
        <v>0</v>
      </c>
      <c r="O57" s="134">
        <f>IFERROR(1-SUMIF('Plant BD'!$H:$H,$A57,'Plant BD'!$AE:$AE)/($AA57+SUMIF('Plant BD'!$H:$H,$A57,'Plant BD'!$AE:$AE)),"")</f>
        <v>1</v>
      </c>
      <c r="P57" s="134"/>
      <c r="Q57" s="135"/>
      <c r="R57" s="134">
        <f>IFERROR(1-SUMIF('Grid BD'!$H:$H,$A57,'Grid BD'!$AD:$AD)/($AA57+SUMIF('Grid BD'!$H:$H,$A57,'Grid BD'!$AD:$AD)),"")</f>
        <v>1</v>
      </c>
      <c r="T57" s="135"/>
      <c r="U57" s="136">
        <f t="shared" si="5"/>
        <v>0.76659425931486536</v>
      </c>
      <c r="V57" s="136"/>
      <c r="W57" s="137">
        <f t="shared" si="6"/>
        <v>0.16960897987341392</v>
      </c>
      <c r="X57" s="130">
        <f>IFERROR(_xlfn.XLOOKUP($A57,'Raw Data'!$G:$G,'Raw Data'!AI:AI),"")</f>
        <v>33052.5</v>
      </c>
      <c r="Y57" s="130">
        <f>IFERROR(_xlfn.XLOOKUP($A57,'Raw Data'!$G:$G,'Raw Data'!AJ:AJ),"")</f>
        <v>32750</v>
      </c>
      <c r="Z57" s="130">
        <f>IFERROR(_xlfn.XLOOKUP($A57,'Raw Data'!$G:$G,'Raw Data'!AK:AK),"")</f>
        <v>100.00000000002274</v>
      </c>
      <c r="AA57" s="130">
        <f>IFERROR(_xlfn.XLOOKUP($A57,'Raw Data'!$G:$G,'Raw Data'!AL:AL),"")</f>
        <v>32649.999999999978</v>
      </c>
      <c r="AB57" s="130">
        <f>IFERROR(_xlfn.XLOOKUP($A57,'Raw Data'!$G:$G,'Raw Data'!H:H),"")</f>
        <v>8.0208999999999993</v>
      </c>
      <c r="AC57" s="76">
        <f>IFERROR(_xlfn.XLOOKUP($D57,'Modelling New'!$D:$D,'Modelling New'!P:P),"")</f>
        <v>6.0129032258064514</v>
      </c>
      <c r="AD57" s="130">
        <f>IFERROR(_xlfn.XLOOKUP($D57,'Modelling New'!$D:$D,'Modelling New'!$T:$T)*1000,"")</f>
        <v>33577.74455581214</v>
      </c>
      <c r="AE57" s="138">
        <f>IFERROR(_xlfn.XLOOKUP($D57,'Modelling New'!$D:$D,'Modelling New'!O:O),"")</f>
        <v>0.69621632879901718</v>
      </c>
      <c r="AF57" s="137">
        <f>IFERROR(_xlfn.XLOOKUP($D57,'Modelling New'!$D:$D,'Modelling New'!W:W),"")</f>
        <v>0.17442839205394728</v>
      </c>
      <c r="AG57" s="137">
        <f>IFERROR(_xlfn.XLOOKUP($D57,'Modelling New'!$D:$D,'Modelling New'!AE:AE),"")</f>
        <v>0.98040000000000005</v>
      </c>
      <c r="AH57" s="156">
        <f>IFERROR(_xlfn.XLOOKUP($D57,'Modelling New'!$D:$D,'Modelling New'!AF:AF),"")</f>
        <v>0.98</v>
      </c>
      <c r="AN57" s="134"/>
      <c r="AO57" s="137"/>
      <c r="AP57" s="137"/>
      <c r="AQ57" s="137"/>
      <c r="AR57" s="130">
        <f>'Basic Data'!$B$98/1000</f>
        <v>8.0208999999999993</v>
      </c>
    </row>
    <row r="58" spans="1:44" x14ac:dyDescent="0.3">
      <c r="A58" s="129">
        <f t="shared" si="7"/>
        <v>45801</v>
      </c>
      <c r="B58" s="130">
        <f>YEAR(Table13[[#This Row],[Date]])+IF(MONTH(Table13[[#This Row],[Date]])&gt;=4,1,0)</f>
        <v>2026</v>
      </c>
      <c r="C58" s="7">
        <f>YEAR(Table13[[#This Row],[Date]])</f>
        <v>2025</v>
      </c>
      <c r="D58" s="131">
        <f>Table13[[#This Row],[Date]]-DAY(Table13[[#This Row],[Date]])+1</f>
        <v>45778</v>
      </c>
      <c r="E58" s="7">
        <f t="shared" si="4"/>
        <v>31</v>
      </c>
      <c r="F58" s="132">
        <f>IFERROR(_xlfn.XLOOKUP($A58,'Raw Data'!$G:$G,'Raw Data'!$AM:$AM),"")</f>
        <v>12.583333333333334</v>
      </c>
      <c r="G58" s="133">
        <f>IFERROR(_xlfn.XLOOKUP($A58,'Raw Data'!$G:$G,'Raw Data'!$AB:$AB),"")</f>
        <v>0</v>
      </c>
      <c r="H58" s="133"/>
      <c r="I58" s="133">
        <f>IFERROR(_xlfn.XLOOKUP($A58,'Raw Data'!$G:$G,'Raw Data'!$AC:$AC),"")</f>
        <v>4.32</v>
      </c>
      <c r="J58" s="133"/>
      <c r="K58" s="133">
        <f>IFERROR(_xlfn.XLOOKUP($A58,'Raw Data'!$G:$G,'Raw Data'!AD:AD),"")</f>
        <v>0</v>
      </c>
      <c r="L58" s="133">
        <f>IFERROR(_xlfn.XLOOKUP($A58,'Raw Data'!$G:$G,'Raw Data'!AE:AE),"")</f>
        <v>34.130000000000003</v>
      </c>
      <c r="M58" s="133">
        <f>IFERROR(_xlfn.XLOOKUP($A58,'Raw Data'!$G:$G,'Raw Data'!AF:AF),"")</f>
        <v>0</v>
      </c>
      <c r="N58" s="133">
        <f>IFERROR(_xlfn.XLOOKUP($A58,'Raw Data'!$G:$G,'Raw Data'!AG:AG),"")</f>
        <v>0</v>
      </c>
      <c r="O58" s="134">
        <f>IFERROR(1-SUMIF('Plant BD'!$H:$H,$A58,'Plant BD'!$AE:$AE)/($AA58+SUMIF('Plant BD'!$H:$H,$A58,'Plant BD'!$AE:$AE)),"")</f>
        <v>1</v>
      </c>
      <c r="P58" s="134"/>
      <c r="Q58" s="135"/>
      <c r="R58" s="134">
        <f>IFERROR(1-SUMIF('Grid BD'!$H:$H,$A58,'Grid BD'!$AD:$AD)/($AA58+SUMIF('Grid BD'!$H:$H,$A58,'Grid BD'!$AD:$AD)),"")</f>
        <v>0.9824559970900365</v>
      </c>
      <c r="T58" s="135"/>
      <c r="U58" s="136">
        <f t="shared" si="5"/>
        <v>0.77777131318512982</v>
      </c>
      <c r="V58" s="136"/>
      <c r="W58" s="137">
        <f t="shared" si="6"/>
        <v>0.13999883637332336</v>
      </c>
      <c r="X58" s="130">
        <f>IFERROR(_xlfn.XLOOKUP($A58,'Raw Data'!$G:$G,'Raw Data'!AI:AI),"")</f>
        <v>27302.799999999999</v>
      </c>
      <c r="Y58" s="130">
        <f>IFERROR(_xlfn.XLOOKUP($A58,'Raw Data'!$G:$G,'Raw Data'!AJ:AJ),"")</f>
        <v>27050.00000000291</v>
      </c>
      <c r="Z58" s="130">
        <f>IFERROR(_xlfn.XLOOKUP($A58,'Raw Data'!$G:$G,'Raw Data'!AK:AK),"")</f>
        <v>99.999999999965894</v>
      </c>
      <c r="AA58" s="130">
        <f>IFERROR(_xlfn.XLOOKUP($A58,'Raw Data'!$G:$G,'Raw Data'!AL:AL),"")</f>
        <v>26950.000000002943</v>
      </c>
      <c r="AB58" s="130">
        <f>IFERROR(_xlfn.XLOOKUP($A58,'Raw Data'!$G:$G,'Raw Data'!H:H),"")</f>
        <v>8.0208999999999993</v>
      </c>
      <c r="AC58" s="76">
        <f>IFERROR(_xlfn.XLOOKUP($D58,'Modelling New'!$D:$D,'Modelling New'!P:P),"")</f>
        <v>6.0129032258064514</v>
      </c>
      <c r="AD58" s="130">
        <f>IFERROR(_xlfn.XLOOKUP($D58,'Modelling New'!$D:$D,'Modelling New'!$T:$T)*1000,"")</f>
        <v>33577.74455581214</v>
      </c>
      <c r="AE58" s="138">
        <f>IFERROR(_xlfn.XLOOKUP($D58,'Modelling New'!$D:$D,'Modelling New'!O:O),"")</f>
        <v>0.69621632879901718</v>
      </c>
      <c r="AF58" s="137">
        <f>IFERROR(_xlfn.XLOOKUP($D58,'Modelling New'!$D:$D,'Modelling New'!W:W),"")</f>
        <v>0.17442839205394728</v>
      </c>
      <c r="AG58" s="137">
        <f>IFERROR(_xlfn.XLOOKUP($D58,'Modelling New'!$D:$D,'Modelling New'!AE:AE),"")</f>
        <v>0.98040000000000005</v>
      </c>
      <c r="AH58" s="156">
        <f>IFERROR(_xlfn.XLOOKUP($D58,'Modelling New'!$D:$D,'Modelling New'!AF:AF),"")</f>
        <v>0.98</v>
      </c>
      <c r="AN58" s="134"/>
      <c r="AO58" s="137"/>
      <c r="AP58" s="137"/>
      <c r="AQ58" s="137"/>
      <c r="AR58" s="130">
        <f>'Basic Data'!$B$98/1000</f>
        <v>8.0208999999999993</v>
      </c>
    </row>
    <row r="59" spans="1:44" x14ac:dyDescent="0.3">
      <c r="A59" s="129">
        <f t="shared" si="7"/>
        <v>45802</v>
      </c>
      <c r="B59" s="130">
        <f>YEAR(Table13[[#This Row],[Date]])+IF(MONTH(Table13[[#This Row],[Date]])&gt;=4,1,0)</f>
        <v>2026</v>
      </c>
      <c r="C59" s="7">
        <f>YEAR(Table13[[#This Row],[Date]])</f>
        <v>2025</v>
      </c>
      <c r="D59" s="131">
        <f>Table13[[#This Row],[Date]]-DAY(Table13[[#This Row],[Date]])+1</f>
        <v>45778</v>
      </c>
      <c r="E59" s="7">
        <f t="shared" si="4"/>
        <v>31</v>
      </c>
      <c r="F59" s="132">
        <f>IFERROR(_xlfn.XLOOKUP($A59,'Raw Data'!$G:$G,'Raw Data'!$AM:$AM),"")</f>
        <v>12.866666666666667</v>
      </c>
      <c r="G59" s="133">
        <f>IFERROR(_xlfn.XLOOKUP($A59,'Raw Data'!$G:$G,'Raw Data'!$AB:$AB),"")</f>
        <v>0</v>
      </c>
      <c r="H59" s="133"/>
      <c r="I59" s="133">
        <f>IFERROR(_xlfn.XLOOKUP($A59,'Raw Data'!$G:$G,'Raw Data'!$AC:$AC),"")</f>
        <v>3.74</v>
      </c>
      <c r="J59" s="133"/>
      <c r="K59" s="133">
        <f>IFERROR(_xlfn.XLOOKUP($A59,'Raw Data'!$G:$G,'Raw Data'!AD:AD),"")</f>
        <v>0</v>
      </c>
      <c r="L59" s="133">
        <f>IFERROR(_xlfn.XLOOKUP($A59,'Raw Data'!$G:$G,'Raw Data'!AE:AE),"")</f>
        <v>33.6</v>
      </c>
      <c r="M59" s="133">
        <f>IFERROR(_xlfn.XLOOKUP($A59,'Raw Data'!$G:$G,'Raw Data'!AF:AF),"")</f>
        <v>0</v>
      </c>
      <c r="N59" s="133">
        <f>IFERROR(_xlfn.XLOOKUP($A59,'Raw Data'!$G:$G,'Raw Data'!AG:AG),"")</f>
        <v>0</v>
      </c>
      <c r="O59" s="134">
        <f>IFERROR(1-SUMIF('Plant BD'!$H:$H,$A59,'Plant BD'!$AE:$AE)/($AA59+SUMIF('Plant BD'!$H:$H,$A59,'Plant BD'!$AE:$AE)),"")</f>
        <v>0.99441742649554254</v>
      </c>
      <c r="P59" s="134"/>
      <c r="Q59" s="135"/>
      <c r="R59" s="134">
        <f>IFERROR(1-SUMIF('Grid BD'!$H:$H,$A59,'Grid BD'!$AD:$AD)/($AA59+SUMIF('Grid BD'!$H:$H,$A59,'Grid BD'!$AD:$AD)),"")</f>
        <v>0.99726531099727245</v>
      </c>
      <c r="T59" s="135"/>
      <c r="U59" s="136">
        <f t="shared" si="5"/>
        <v>0.78004768691525939</v>
      </c>
      <c r="V59" s="136"/>
      <c r="W59" s="137">
        <f t="shared" si="6"/>
        <v>0.12155743121096124</v>
      </c>
      <c r="X59" s="130">
        <f>IFERROR(_xlfn.XLOOKUP($A59,'Raw Data'!$G:$G,'Raw Data'!AI:AI),"")</f>
        <v>23674.300000000003</v>
      </c>
      <c r="Y59" s="130">
        <f>IFERROR(_xlfn.XLOOKUP($A59,'Raw Data'!$G:$G,'Raw Data'!AJ:AJ),"")</f>
        <v>23500</v>
      </c>
      <c r="Z59" s="130">
        <f>IFERROR(_xlfn.XLOOKUP($A59,'Raw Data'!$G:$G,'Raw Data'!AK:AK),"")</f>
        <v>100.00000000002274</v>
      </c>
      <c r="AA59" s="130">
        <f>IFERROR(_xlfn.XLOOKUP($A59,'Raw Data'!$G:$G,'Raw Data'!AL:AL),"")</f>
        <v>23399.999999999978</v>
      </c>
      <c r="AB59" s="130">
        <f>IFERROR(_xlfn.XLOOKUP($A59,'Raw Data'!$G:$G,'Raw Data'!H:H),"")</f>
        <v>8.0208999999999993</v>
      </c>
      <c r="AC59" s="76">
        <f>IFERROR(_xlfn.XLOOKUP($D59,'Modelling New'!$D:$D,'Modelling New'!P:P),"")</f>
        <v>6.0129032258064514</v>
      </c>
      <c r="AD59" s="130">
        <f>IFERROR(_xlfn.XLOOKUP($D59,'Modelling New'!$D:$D,'Modelling New'!$T:$T)*1000,"")</f>
        <v>33577.74455581214</v>
      </c>
      <c r="AE59" s="138">
        <f>IFERROR(_xlfn.XLOOKUP($D59,'Modelling New'!$D:$D,'Modelling New'!O:O),"")</f>
        <v>0.69621632879901718</v>
      </c>
      <c r="AF59" s="137">
        <f>IFERROR(_xlfn.XLOOKUP($D59,'Modelling New'!$D:$D,'Modelling New'!W:W),"")</f>
        <v>0.17442839205394728</v>
      </c>
      <c r="AG59" s="137">
        <f>IFERROR(_xlfn.XLOOKUP($D59,'Modelling New'!$D:$D,'Modelling New'!AE:AE),"")</f>
        <v>0.98040000000000005</v>
      </c>
      <c r="AH59" s="156">
        <f>IFERROR(_xlfn.XLOOKUP($D59,'Modelling New'!$D:$D,'Modelling New'!AF:AF),"")</f>
        <v>0.98</v>
      </c>
      <c r="AN59" s="134"/>
      <c r="AO59" s="137"/>
      <c r="AP59" s="137"/>
      <c r="AQ59" s="137"/>
      <c r="AR59" s="130">
        <f>'Basic Data'!$B$98/1000</f>
        <v>8.0208999999999993</v>
      </c>
    </row>
    <row r="60" spans="1:44" x14ac:dyDescent="0.3">
      <c r="A60" s="129">
        <f t="shared" si="7"/>
        <v>45803</v>
      </c>
      <c r="B60" s="130">
        <f>YEAR(Table13[[#This Row],[Date]])+IF(MONTH(Table13[[#This Row],[Date]])&gt;=4,1,0)</f>
        <v>2026</v>
      </c>
      <c r="C60" s="7">
        <f>YEAR(Table13[[#This Row],[Date]])</f>
        <v>2025</v>
      </c>
      <c r="D60" s="131">
        <f>Table13[[#This Row],[Date]]-DAY(Table13[[#This Row],[Date]])+1</f>
        <v>45778</v>
      </c>
      <c r="E60" s="7">
        <f t="shared" si="4"/>
        <v>31</v>
      </c>
      <c r="F60" s="132">
        <f>IFERROR(_xlfn.XLOOKUP($A60,'Raw Data'!$G:$G,'Raw Data'!$AM:$AM),"")</f>
        <v>12.8</v>
      </c>
      <c r="G60" s="133">
        <f>IFERROR(_xlfn.XLOOKUP($A60,'Raw Data'!$G:$G,'Raw Data'!$AB:$AB),"")</f>
        <v>0</v>
      </c>
      <c r="H60" s="133"/>
      <c r="I60" s="133">
        <f>IFERROR(_xlfn.XLOOKUP($A60,'Raw Data'!$G:$G,'Raw Data'!$AC:$AC),"")</f>
        <v>2.88</v>
      </c>
      <c r="J60" s="133"/>
      <c r="K60" s="133">
        <f>IFERROR(_xlfn.XLOOKUP($A60,'Raw Data'!$G:$G,'Raw Data'!AD:AD),"")</f>
        <v>0</v>
      </c>
      <c r="L60" s="133">
        <f>IFERROR(_xlfn.XLOOKUP($A60,'Raw Data'!$G:$G,'Raw Data'!AE:AE),"")</f>
        <v>33.68</v>
      </c>
      <c r="M60" s="133">
        <f>IFERROR(_xlfn.XLOOKUP($A60,'Raw Data'!$G:$G,'Raw Data'!AF:AF),"")</f>
        <v>0</v>
      </c>
      <c r="N60" s="133">
        <f>IFERROR(_xlfn.XLOOKUP($A60,'Raw Data'!$G:$G,'Raw Data'!AG:AG),"")</f>
        <v>0</v>
      </c>
      <c r="O60" s="134">
        <f>IFERROR(1-SUMIF('Plant BD'!$H:$H,$A60,'Plant BD'!$AE:$AE)/($AA60+SUMIF('Plant BD'!$H:$H,$A60,'Plant BD'!$AE:$AE)),"")</f>
        <v>1</v>
      </c>
      <c r="P60" s="134"/>
      <c r="Q60" s="135"/>
      <c r="R60" s="134">
        <f>IFERROR(1-SUMIF('Grid BD'!$H:$H,$A60,'Grid BD'!$AD:$AD)/($AA60+SUMIF('Grid BD'!$H:$H,$A60,'Grid BD'!$AD:$AD)),"")</f>
        <v>0.9915393215487166</v>
      </c>
      <c r="T60" s="135"/>
      <c r="U60" s="136">
        <f t="shared" si="5"/>
        <v>0.81384604941849459</v>
      </c>
      <c r="V60" s="136"/>
      <c r="W60" s="137">
        <f t="shared" si="6"/>
        <v>9.7661525930219331E-2</v>
      </c>
      <c r="X60" s="130">
        <f>IFERROR(_xlfn.XLOOKUP($A60,'Raw Data'!$G:$G,'Raw Data'!AI:AI),"")</f>
        <v>19067.300000000003</v>
      </c>
      <c r="Y60" s="130">
        <f>IFERROR(_xlfn.XLOOKUP($A60,'Raw Data'!$G:$G,'Raw Data'!AJ:AJ),"")</f>
        <v>18900.000000008731</v>
      </c>
      <c r="Z60" s="130">
        <f>IFERROR(_xlfn.XLOOKUP($A60,'Raw Data'!$G:$G,'Raw Data'!AK:AK),"")</f>
        <v>100.00000000002274</v>
      </c>
      <c r="AA60" s="130">
        <f>IFERROR(_xlfn.XLOOKUP($A60,'Raw Data'!$G:$G,'Raw Data'!AL:AL),"")</f>
        <v>18800.000000008709</v>
      </c>
      <c r="AB60" s="130">
        <f>IFERROR(_xlfn.XLOOKUP($A60,'Raw Data'!$G:$G,'Raw Data'!H:H),"")</f>
        <v>8.0208999999999993</v>
      </c>
      <c r="AC60" s="76">
        <f>IFERROR(_xlfn.XLOOKUP($D60,'Modelling New'!$D:$D,'Modelling New'!P:P),"")</f>
        <v>6.0129032258064514</v>
      </c>
      <c r="AD60" s="130">
        <f>IFERROR(_xlfn.XLOOKUP($D60,'Modelling New'!$D:$D,'Modelling New'!$T:$T)*1000,"")</f>
        <v>33577.74455581214</v>
      </c>
      <c r="AE60" s="138">
        <f>IFERROR(_xlfn.XLOOKUP($D60,'Modelling New'!$D:$D,'Modelling New'!O:O),"")</f>
        <v>0.69621632879901718</v>
      </c>
      <c r="AF60" s="137">
        <f>IFERROR(_xlfn.XLOOKUP($D60,'Modelling New'!$D:$D,'Modelling New'!W:W),"")</f>
        <v>0.17442839205394728</v>
      </c>
      <c r="AG60" s="137">
        <f>IFERROR(_xlfn.XLOOKUP($D60,'Modelling New'!$D:$D,'Modelling New'!AE:AE),"")</f>
        <v>0.98040000000000005</v>
      </c>
      <c r="AH60" s="156">
        <f>IFERROR(_xlfn.XLOOKUP($D60,'Modelling New'!$D:$D,'Modelling New'!AF:AF),"")</f>
        <v>0.98</v>
      </c>
      <c r="AN60" s="134"/>
      <c r="AO60" s="137"/>
      <c r="AP60" s="137"/>
      <c r="AQ60" s="137"/>
      <c r="AR60" s="130">
        <f>'Basic Data'!$B$98/1000</f>
        <v>8.0208999999999993</v>
      </c>
    </row>
    <row r="61" spans="1:44" x14ac:dyDescent="0.3">
      <c r="A61" s="129">
        <f t="shared" si="7"/>
        <v>45804</v>
      </c>
      <c r="B61" s="130">
        <f>YEAR(Table13[[#This Row],[Date]])+IF(MONTH(Table13[[#This Row],[Date]])&gt;=4,1,0)</f>
        <v>2026</v>
      </c>
      <c r="C61" s="7">
        <f>YEAR(Table13[[#This Row],[Date]])</f>
        <v>2025</v>
      </c>
      <c r="D61" s="131">
        <f>Table13[[#This Row],[Date]]-DAY(Table13[[#This Row],[Date]])+1</f>
        <v>45778</v>
      </c>
      <c r="E61" s="7">
        <f t="shared" si="4"/>
        <v>31</v>
      </c>
      <c r="F61" s="132">
        <f>IFERROR(_xlfn.XLOOKUP($A61,'Raw Data'!$G:$G,'Raw Data'!$AM:$AM),"")</f>
        <v>12.583333333333334</v>
      </c>
      <c r="G61" s="133">
        <f>IFERROR(_xlfn.XLOOKUP($A61,'Raw Data'!$G:$G,'Raw Data'!$AB:$AB),"")</f>
        <v>0</v>
      </c>
      <c r="H61" s="133"/>
      <c r="I61" s="133">
        <f>IFERROR(_xlfn.XLOOKUP($A61,'Raw Data'!$G:$G,'Raw Data'!$AC:$AC),"")</f>
        <v>3.04</v>
      </c>
      <c r="J61" s="133"/>
      <c r="K61" s="133">
        <f>IFERROR(_xlfn.XLOOKUP($A61,'Raw Data'!$G:$G,'Raw Data'!AD:AD),"")</f>
        <v>0</v>
      </c>
      <c r="L61" s="133">
        <f>IFERROR(_xlfn.XLOOKUP($A61,'Raw Data'!$G:$G,'Raw Data'!AE:AE),"")</f>
        <v>32.93</v>
      </c>
      <c r="M61" s="133">
        <f>IFERROR(_xlfn.XLOOKUP($A61,'Raw Data'!$G:$G,'Raw Data'!AF:AF),"")</f>
        <v>0</v>
      </c>
      <c r="N61" s="133">
        <f>IFERROR(_xlfn.XLOOKUP($A61,'Raw Data'!$G:$G,'Raw Data'!AG:AG),"")</f>
        <v>0</v>
      </c>
      <c r="O61" s="134">
        <f>IFERROR(1-SUMIF('Plant BD'!$H:$H,$A61,'Plant BD'!$AE:$AE)/($AA61+SUMIF('Plant BD'!$H:$H,$A61,'Plant BD'!$AE:$AE)),"")</f>
        <v>1</v>
      </c>
      <c r="P61" s="134"/>
      <c r="Q61" s="135"/>
      <c r="R61" s="134">
        <f>IFERROR(1-SUMIF('Grid BD'!$H:$H,$A61,'Grid BD'!$AD:$AD)/($AA61+SUMIF('Grid BD'!$H:$H,$A61,'Grid BD'!$AD:$AD)),"")</f>
        <v>0.96078200320847407</v>
      </c>
      <c r="T61" s="135"/>
      <c r="U61" s="136">
        <f t="shared" si="5"/>
        <v>0.80587163404028173</v>
      </c>
      <c r="V61" s="136"/>
      <c r="W61" s="137">
        <f t="shared" si="6"/>
        <v>0.10207707364510234</v>
      </c>
      <c r="X61" s="130">
        <f>IFERROR(_xlfn.XLOOKUP($A61,'Raw Data'!$G:$G,'Raw Data'!AI:AI),"")</f>
        <v>19930.599999999999</v>
      </c>
      <c r="Y61" s="130">
        <f>IFERROR(_xlfn.XLOOKUP($A61,'Raw Data'!$G:$G,'Raw Data'!AJ:AJ),"")</f>
        <v>19750</v>
      </c>
      <c r="Z61" s="130">
        <f>IFERROR(_xlfn.XLOOKUP($A61,'Raw Data'!$G:$G,'Raw Data'!AK:AK),"")</f>
        <v>99.999999999965894</v>
      </c>
      <c r="AA61" s="130">
        <f>IFERROR(_xlfn.XLOOKUP($A61,'Raw Data'!$G:$G,'Raw Data'!AL:AL),"")</f>
        <v>19650.000000000033</v>
      </c>
      <c r="AB61" s="130">
        <f>IFERROR(_xlfn.XLOOKUP($A61,'Raw Data'!$G:$G,'Raw Data'!H:H),"")</f>
        <v>8.0208999999999993</v>
      </c>
      <c r="AC61" s="76">
        <f>IFERROR(_xlfn.XLOOKUP($D61,'Modelling New'!$D:$D,'Modelling New'!P:P),"")</f>
        <v>6.0129032258064514</v>
      </c>
      <c r="AD61" s="130">
        <f>IFERROR(_xlfn.XLOOKUP($D61,'Modelling New'!$D:$D,'Modelling New'!$T:$T)*1000,"")</f>
        <v>33577.74455581214</v>
      </c>
      <c r="AE61" s="138">
        <f>IFERROR(_xlfn.XLOOKUP($D61,'Modelling New'!$D:$D,'Modelling New'!O:O),"")</f>
        <v>0.69621632879901718</v>
      </c>
      <c r="AF61" s="137">
        <f>IFERROR(_xlfn.XLOOKUP($D61,'Modelling New'!$D:$D,'Modelling New'!W:W),"")</f>
        <v>0.17442839205394728</v>
      </c>
      <c r="AG61" s="137">
        <f>IFERROR(_xlfn.XLOOKUP($D61,'Modelling New'!$D:$D,'Modelling New'!AE:AE),"")</f>
        <v>0.98040000000000005</v>
      </c>
      <c r="AH61" s="156">
        <f>IFERROR(_xlfn.XLOOKUP($D61,'Modelling New'!$D:$D,'Modelling New'!AF:AF),"")</f>
        <v>0.98</v>
      </c>
      <c r="AN61" s="134"/>
      <c r="AO61" s="137"/>
      <c r="AP61" s="137"/>
      <c r="AQ61" s="137"/>
      <c r="AR61" s="130">
        <f>'Basic Data'!$B$98/1000</f>
        <v>8.0208999999999993</v>
      </c>
    </row>
    <row r="62" spans="1:44" x14ac:dyDescent="0.3">
      <c r="A62" s="129">
        <f t="shared" si="7"/>
        <v>45805</v>
      </c>
      <c r="B62" s="130">
        <f>YEAR(Table13[[#This Row],[Date]])+IF(MONTH(Table13[[#This Row],[Date]])&gt;=4,1,0)</f>
        <v>2026</v>
      </c>
      <c r="C62" s="7">
        <f>YEAR(Table13[[#This Row],[Date]])</f>
        <v>2025</v>
      </c>
      <c r="D62" s="131">
        <f>Table13[[#This Row],[Date]]-DAY(Table13[[#This Row],[Date]])+1</f>
        <v>45778</v>
      </c>
      <c r="E62" s="7">
        <f t="shared" si="4"/>
        <v>31</v>
      </c>
      <c r="F62" s="132">
        <f>IFERROR(_xlfn.XLOOKUP($A62,'Raw Data'!$G:$G,'Raw Data'!$AM:$AM),"")</f>
        <v>12.833333333333332</v>
      </c>
      <c r="G62" s="133">
        <f>IFERROR(_xlfn.XLOOKUP($A62,'Raw Data'!$G:$G,'Raw Data'!$AB:$AB),"")</f>
        <v>0</v>
      </c>
      <c r="H62" s="133"/>
      <c r="I62" s="133">
        <f>IFERROR(_xlfn.XLOOKUP($A62,'Raw Data'!$G:$G,'Raw Data'!$AC:$AC),"")</f>
        <v>3.25</v>
      </c>
      <c r="J62" s="133"/>
      <c r="K62" s="133">
        <f>IFERROR(_xlfn.XLOOKUP($A62,'Raw Data'!$G:$G,'Raw Data'!AD:AD),"")</f>
        <v>0</v>
      </c>
      <c r="L62" s="133">
        <f>IFERROR(_xlfn.XLOOKUP($A62,'Raw Data'!$G:$G,'Raw Data'!AE:AE),"")</f>
        <v>32.46</v>
      </c>
      <c r="M62" s="133">
        <f>IFERROR(_xlfn.XLOOKUP($A62,'Raw Data'!$G:$G,'Raw Data'!AF:AF),"")</f>
        <v>0</v>
      </c>
      <c r="N62" s="133">
        <f>IFERROR(_xlfn.XLOOKUP($A62,'Raw Data'!$G:$G,'Raw Data'!AG:AG),"")</f>
        <v>0</v>
      </c>
      <c r="O62" s="134">
        <f>IFERROR(1-SUMIF('Plant BD'!$H:$H,$A62,'Plant BD'!$AE:$AE)/($AA62+SUMIF('Plant BD'!$H:$H,$A62,'Plant BD'!$AE:$AE)),"")</f>
        <v>1</v>
      </c>
      <c r="P62" s="134"/>
      <c r="Q62" s="135"/>
      <c r="R62" s="134">
        <f>IFERROR(1-SUMIF('Grid BD'!$H:$H,$A62,'Grid BD'!$AD:$AD)/($AA62+SUMIF('Grid BD'!$H:$H,$A62,'Grid BD'!$AD:$AD)),"")</f>
        <v>1</v>
      </c>
      <c r="T62" s="135"/>
      <c r="U62" s="136">
        <f t="shared" si="5"/>
        <v>0.84203096333859861</v>
      </c>
      <c r="V62" s="136"/>
      <c r="W62" s="137">
        <f t="shared" si="6"/>
        <v>0.11402502628543522</v>
      </c>
      <c r="X62" s="130">
        <f>IFERROR(_xlfn.XLOOKUP($A62,'Raw Data'!$G:$G,'Raw Data'!AI:AI),"")</f>
        <v>22243</v>
      </c>
      <c r="Y62" s="130">
        <f>IFERROR(_xlfn.XLOOKUP($A62,'Raw Data'!$G:$G,'Raw Data'!AJ:AJ),"")</f>
        <v>22049.999999988358</v>
      </c>
      <c r="Z62" s="130">
        <f>IFERROR(_xlfn.XLOOKUP($A62,'Raw Data'!$G:$G,'Raw Data'!AK:AK),"")</f>
        <v>100.00000000002274</v>
      </c>
      <c r="AA62" s="130">
        <f>IFERROR(_xlfn.XLOOKUP($A62,'Raw Data'!$G:$G,'Raw Data'!AL:AL),"")</f>
        <v>21949.999999988337</v>
      </c>
      <c r="AB62" s="130">
        <f>IFERROR(_xlfn.XLOOKUP($A62,'Raw Data'!$G:$G,'Raw Data'!H:H),"")</f>
        <v>8.0208999999999993</v>
      </c>
      <c r="AC62" s="76">
        <f>IFERROR(_xlfn.XLOOKUP($D62,'Modelling New'!$D:$D,'Modelling New'!P:P),"")</f>
        <v>6.0129032258064514</v>
      </c>
      <c r="AD62" s="130">
        <f>IFERROR(_xlfn.XLOOKUP($D62,'Modelling New'!$D:$D,'Modelling New'!$T:$T)*1000,"")</f>
        <v>33577.74455581214</v>
      </c>
      <c r="AE62" s="138">
        <f>IFERROR(_xlfn.XLOOKUP($D62,'Modelling New'!$D:$D,'Modelling New'!O:O),"")</f>
        <v>0.69621632879901718</v>
      </c>
      <c r="AF62" s="137">
        <f>IFERROR(_xlfn.XLOOKUP($D62,'Modelling New'!$D:$D,'Modelling New'!W:W),"")</f>
        <v>0.17442839205394728</v>
      </c>
      <c r="AG62" s="137">
        <f>IFERROR(_xlfn.XLOOKUP($D62,'Modelling New'!$D:$D,'Modelling New'!AE:AE),"")</f>
        <v>0.98040000000000005</v>
      </c>
      <c r="AH62" s="156">
        <f>IFERROR(_xlfn.XLOOKUP($D62,'Modelling New'!$D:$D,'Modelling New'!AF:AF),"")</f>
        <v>0.98</v>
      </c>
      <c r="AN62" s="134"/>
      <c r="AO62" s="137"/>
      <c r="AP62" s="137"/>
      <c r="AQ62" s="137"/>
      <c r="AR62" s="130">
        <f>'Basic Data'!$B$98/1000</f>
        <v>8.0208999999999993</v>
      </c>
    </row>
    <row r="63" spans="1:44" x14ac:dyDescent="0.3">
      <c r="A63" s="129">
        <f t="shared" si="7"/>
        <v>45806</v>
      </c>
      <c r="B63" s="130">
        <f>YEAR(Table13[[#This Row],[Date]])+IF(MONTH(Table13[[#This Row],[Date]])&gt;=4,1,0)</f>
        <v>2026</v>
      </c>
      <c r="C63" s="7">
        <f>YEAR(Table13[[#This Row],[Date]])</f>
        <v>2025</v>
      </c>
      <c r="D63" s="131">
        <f>Table13[[#This Row],[Date]]-DAY(Table13[[#This Row],[Date]])+1</f>
        <v>45778</v>
      </c>
      <c r="E63" s="7">
        <f t="shared" si="4"/>
        <v>31</v>
      </c>
      <c r="F63" s="132">
        <f>IFERROR(_xlfn.XLOOKUP($A63,'Raw Data'!$G:$G,'Raw Data'!$AM:$AM),"")</f>
        <v>12.733333333333334</v>
      </c>
      <c r="G63" s="133">
        <f>IFERROR(_xlfn.XLOOKUP($A63,'Raw Data'!$G:$G,'Raw Data'!$AB:$AB),"")</f>
        <v>0</v>
      </c>
      <c r="H63" s="133"/>
      <c r="I63" s="133">
        <f>IFERROR(_xlfn.XLOOKUP($A63,'Raw Data'!$G:$G,'Raw Data'!$AC:$AC),"")</f>
        <v>2.67</v>
      </c>
      <c r="J63" s="133"/>
      <c r="K63" s="133">
        <f>IFERROR(_xlfn.XLOOKUP($A63,'Raw Data'!$G:$G,'Raw Data'!AD:AD),"")</f>
        <v>0</v>
      </c>
      <c r="L63" s="133">
        <f>IFERROR(_xlfn.XLOOKUP($A63,'Raw Data'!$G:$G,'Raw Data'!AE:AE),"")</f>
        <v>32.15</v>
      </c>
      <c r="M63" s="133">
        <f>IFERROR(_xlfn.XLOOKUP($A63,'Raw Data'!$G:$G,'Raw Data'!AF:AF),"")</f>
        <v>0</v>
      </c>
      <c r="N63" s="133">
        <f>IFERROR(_xlfn.XLOOKUP($A63,'Raw Data'!$G:$G,'Raw Data'!AG:AG),"")</f>
        <v>0</v>
      </c>
      <c r="O63" s="134">
        <f>IFERROR(1-SUMIF('Plant BD'!$H:$H,$A63,'Plant BD'!$AE:$AE)/($AA63+SUMIF('Plant BD'!$H:$H,$A63,'Plant BD'!$AE:$AE)),"")</f>
        <v>1</v>
      </c>
      <c r="P63" s="134"/>
      <c r="Q63" s="135"/>
      <c r="R63" s="134">
        <f>IFERROR(1-SUMIF('Grid BD'!$H:$H,$A63,'Grid BD'!$AD:$AD)/($AA63+SUMIF('Grid BD'!$H:$H,$A63,'Grid BD'!$AD:$AD)),"")</f>
        <v>1</v>
      </c>
      <c r="T63" s="135"/>
      <c r="U63" s="136">
        <f t="shared" si="5"/>
        <v>0.87552168835363087</v>
      </c>
      <c r="V63" s="136"/>
      <c r="W63" s="137">
        <f t="shared" si="6"/>
        <v>9.7401787829341432E-2</v>
      </c>
      <c r="X63" s="130">
        <f>IFERROR(_xlfn.XLOOKUP($A63,'Raw Data'!$G:$G,'Raw Data'!AI:AI),"")</f>
        <v>19012.099999999999</v>
      </c>
      <c r="Y63" s="130">
        <f>IFERROR(_xlfn.XLOOKUP($A63,'Raw Data'!$G:$G,'Raw Data'!AJ:AJ),"")</f>
        <v>18900.000000008731</v>
      </c>
      <c r="Z63" s="130">
        <f>IFERROR(_xlfn.XLOOKUP($A63,'Raw Data'!$G:$G,'Raw Data'!AK:AK),"")</f>
        <v>149.99999999997726</v>
      </c>
      <c r="AA63" s="130">
        <f>IFERROR(_xlfn.XLOOKUP($A63,'Raw Data'!$G:$G,'Raw Data'!AL:AL),"")</f>
        <v>18750.000000008753</v>
      </c>
      <c r="AB63" s="130">
        <f>IFERROR(_xlfn.XLOOKUP($A63,'Raw Data'!$G:$G,'Raw Data'!H:H),"")</f>
        <v>8.0208999999999993</v>
      </c>
      <c r="AC63" s="76">
        <f>IFERROR(_xlfn.XLOOKUP($D63,'Modelling New'!$D:$D,'Modelling New'!P:P),"")</f>
        <v>6.0129032258064514</v>
      </c>
      <c r="AD63" s="130">
        <f>IFERROR(_xlfn.XLOOKUP($D63,'Modelling New'!$D:$D,'Modelling New'!$T:$T)*1000,"")</f>
        <v>33577.74455581214</v>
      </c>
      <c r="AE63" s="138">
        <f>IFERROR(_xlfn.XLOOKUP($D63,'Modelling New'!$D:$D,'Modelling New'!O:O),"")</f>
        <v>0.69621632879901718</v>
      </c>
      <c r="AF63" s="137">
        <f>IFERROR(_xlfn.XLOOKUP($D63,'Modelling New'!$D:$D,'Modelling New'!W:W),"")</f>
        <v>0.17442839205394728</v>
      </c>
      <c r="AG63" s="137">
        <f>IFERROR(_xlfn.XLOOKUP($D63,'Modelling New'!$D:$D,'Modelling New'!AE:AE),"")</f>
        <v>0.98040000000000005</v>
      </c>
      <c r="AH63" s="156">
        <f>IFERROR(_xlfn.XLOOKUP($D63,'Modelling New'!$D:$D,'Modelling New'!AF:AF),"")</f>
        <v>0.98</v>
      </c>
      <c r="AN63" s="134"/>
      <c r="AO63" s="137"/>
      <c r="AP63" s="137"/>
      <c r="AQ63" s="137"/>
      <c r="AR63" s="130">
        <f>'Basic Data'!$B$98/1000</f>
        <v>8.0208999999999993</v>
      </c>
    </row>
    <row r="64" spans="1:44" x14ac:dyDescent="0.3">
      <c r="A64" s="129">
        <f t="shared" si="7"/>
        <v>45807</v>
      </c>
      <c r="B64" s="130">
        <f>YEAR(Table13[[#This Row],[Date]])+IF(MONTH(Table13[[#This Row],[Date]])&gt;=4,1,0)</f>
        <v>2026</v>
      </c>
      <c r="C64" s="7">
        <f>YEAR(Table13[[#This Row],[Date]])</f>
        <v>2025</v>
      </c>
      <c r="D64" s="131">
        <f>Table13[[#This Row],[Date]]-DAY(Table13[[#This Row],[Date]])+1</f>
        <v>45778</v>
      </c>
      <c r="E64" s="7">
        <f t="shared" si="4"/>
        <v>31</v>
      </c>
      <c r="F64" s="132">
        <f>IFERROR(_xlfn.XLOOKUP($A64,'Raw Data'!$G:$G,'Raw Data'!$AM:$AM),"")</f>
        <v>12.916666666666666</v>
      </c>
      <c r="G64" s="133">
        <f>IFERROR(_xlfn.XLOOKUP($A64,'Raw Data'!$G:$G,'Raw Data'!$AB:$AB),"")</f>
        <v>0</v>
      </c>
      <c r="H64" s="133"/>
      <c r="I64" s="133">
        <f>IFERROR(_xlfn.XLOOKUP($A64,'Raw Data'!$G:$G,'Raw Data'!$AC:$AC),"")</f>
        <v>5.3</v>
      </c>
      <c r="J64" s="133"/>
      <c r="K64" s="133">
        <f>IFERROR(_xlfn.XLOOKUP($A64,'Raw Data'!$G:$G,'Raw Data'!AD:AD),"")</f>
        <v>0</v>
      </c>
      <c r="L64" s="133">
        <f>IFERROR(_xlfn.XLOOKUP($A64,'Raw Data'!$G:$G,'Raw Data'!AE:AE),"")</f>
        <v>37.700000000000003</v>
      </c>
      <c r="M64" s="133">
        <f>IFERROR(_xlfn.XLOOKUP($A64,'Raw Data'!$G:$G,'Raw Data'!AF:AF),"")</f>
        <v>0</v>
      </c>
      <c r="N64" s="133">
        <f>IFERROR(_xlfn.XLOOKUP($A64,'Raw Data'!$G:$G,'Raw Data'!AG:AG),"")</f>
        <v>0</v>
      </c>
      <c r="O64" s="134">
        <f>IFERROR(1-SUMIF('Plant BD'!$H:$H,$A64,'Plant BD'!$AE:$AE)/($AA64+SUMIF('Plant BD'!$H:$H,$A64,'Plant BD'!$AE:$AE)),"")</f>
        <v>1</v>
      </c>
      <c r="P64" s="134"/>
      <c r="Q64" s="135"/>
      <c r="R64" s="134">
        <f>IFERROR(1-SUMIF('Grid BD'!$H:$H,$A64,'Grid BD'!$AD:$AD)/($AA64+SUMIF('Grid BD'!$H:$H,$A64,'Grid BD'!$AD:$AD)),"")</f>
        <v>1</v>
      </c>
      <c r="T64" s="135"/>
      <c r="U64" s="136">
        <f t="shared" si="5"/>
        <v>0.83037780778833614</v>
      </c>
      <c r="V64" s="136"/>
      <c r="W64" s="137">
        <f t="shared" si="6"/>
        <v>0.18337509921992418</v>
      </c>
      <c r="X64" s="130">
        <f>IFERROR(_xlfn.XLOOKUP($A64,'Raw Data'!$G:$G,'Raw Data'!AI:AI),"")</f>
        <v>35750.800000000003</v>
      </c>
      <c r="Y64" s="130">
        <f>IFERROR(_xlfn.XLOOKUP($A64,'Raw Data'!$G:$G,'Raw Data'!AJ:AJ),"")</f>
        <v>35399.999999994179</v>
      </c>
      <c r="Z64" s="130">
        <f>IFERROR(_xlfn.XLOOKUP($A64,'Raw Data'!$G:$G,'Raw Data'!AK:AK),"")</f>
        <v>100.00000000002274</v>
      </c>
      <c r="AA64" s="130">
        <f>IFERROR(_xlfn.XLOOKUP($A64,'Raw Data'!$G:$G,'Raw Data'!AL:AL),"")</f>
        <v>35299.999999994157</v>
      </c>
      <c r="AB64" s="130">
        <f>IFERROR(_xlfn.XLOOKUP($A64,'Raw Data'!$G:$G,'Raw Data'!H:H),"")</f>
        <v>8.0208999999999993</v>
      </c>
      <c r="AC64" s="76">
        <f>IFERROR(_xlfn.XLOOKUP($D64,'Modelling New'!$D:$D,'Modelling New'!P:P),"")</f>
        <v>6.0129032258064514</v>
      </c>
      <c r="AD64" s="130">
        <f>IFERROR(_xlfn.XLOOKUP($D64,'Modelling New'!$D:$D,'Modelling New'!$T:$T)*1000,"")</f>
        <v>33577.74455581214</v>
      </c>
      <c r="AE64" s="138">
        <f>IFERROR(_xlfn.XLOOKUP($D64,'Modelling New'!$D:$D,'Modelling New'!O:O),"")</f>
        <v>0.69621632879901718</v>
      </c>
      <c r="AF64" s="137">
        <f>IFERROR(_xlfn.XLOOKUP($D64,'Modelling New'!$D:$D,'Modelling New'!W:W),"")</f>
        <v>0.17442839205394728</v>
      </c>
      <c r="AG64" s="137">
        <f>IFERROR(_xlfn.XLOOKUP($D64,'Modelling New'!$D:$D,'Modelling New'!AE:AE),"")</f>
        <v>0.98040000000000005</v>
      </c>
      <c r="AH64" s="156">
        <f>IFERROR(_xlfn.XLOOKUP($D64,'Modelling New'!$D:$D,'Modelling New'!AF:AF),"")</f>
        <v>0.98</v>
      </c>
      <c r="AN64" s="134"/>
      <c r="AO64" s="137"/>
      <c r="AP64" s="137"/>
      <c r="AQ64" s="137"/>
      <c r="AR64" s="130">
        <f>'Basic Data'!$B$98/1000</f>
        <v>8.0208999999999993</v>
      </c>
    </row>
    <row r="65" spans="1:44" x14ac:dyDescent="0.3">
      <c r="A65" s="129">
        <f t="shared" si="7"/>
        <v>45808</v>
      </c>
      <c r="B65" s="130">
        <f>YEAR(Table13[[#This Row],[Date]])+IF(MONTH(Table13[[#This Row],[Date]])&gt;=4,1,0)</f>
        <v>2026</v>
      </c>
      <c r="C65" s="7">
        <f>YEAR(Table13[[#This Row],[Date]])</f>
        <v>2025</v>
      </c>
      <c r="D65" s="131">
        <f>Table13[[#This Row],[Date]]-DAY(Table13[[#This Row],[Date]])+1</f>
        <v>45778</v>
      </c>
      <c r="E65" s="7">
        <f t="shared" si="4"/>
        <v>31</v>
      </c>
      <c r="F65" s="132">
        <f>IFERROR(_xlfn.XLOOKUP($A65,'Raw Data'!$G:$G,'Raw Data'!$AM:$AM),"")</f>
        <v>12.983333333333333</v>
      </c>
      <c r="G65" s="133">
        <f>IFERROR(_xlfn.XLOOKUP($A65,'Raw Data'!$G:$G,'Raw Data'!$AB:$AB),"")</f>
        <v>0</v>
      </c>
      <c r="H65" s="133"/>
      <c r="I65" s="133">
        <f>IFERROR(_xlfn.XLOOKUP($A65,'Raw Data'!$G:$G,'Raw Data'!$AC:$AC),"")</f>
        <v>6.1</v>
      </c>
      <c r="J65" s="133"/>
      <c r="K65" s="133">
        <f>IFERROR(_xlfn.XLOOKUP($A65,'Raw Data'!$G:$G,'Raw Data'!AD:AD),"")</f>
        <v>0</v>
      </c>
      <c r="L65" s="133">
        <f>IFERROR(_xlfn.XLOOKUP($A65,'Raw Data'!$G:$G,'Raw Data'!AE:AE),"")</f>
        <v>39.9</v>
      </c>
      <c r="M65" s="133">
        <f>IFERROR(_xlfn.XLOOKUP($A65,'Raw Data'!$G:$G,'Raw Data'!AF:AF),"")</f>
        <v>0</v>
      </c>
      <c r="N65" s="133">
        <f>IFERROR(_xlfn.XLOOKUP($A65,'Raw Data'!$G:$G,'Raw Data'!AG:AG),"")</f>
        <v>0</v>
      </c>
      <c r="O65" s="134">
        <f>IFERROR(1-SUMIF('Plant BD'!$H:$H,$A65,'Plant BD'!$AE:$AE)/($AA65+SUMIF('Plant BD'!$H:$H,$A65,'Plant BD'!$AE:$AE)),"")</f>
        <v>1</v>
      </c>
      <c r="P65" s="134"/>
      <c r="Q65" s="135"/>
      <c r="R65" s="134">
        <f>IFERROR(1-SUMIF('Grid BD'!$H:$H,$A65,'Grid BD'!$AD:$AD)/($AA65+SUMIF('Grid BD'!$H:$H,$A65,'Grid BD'!$AD:$AD)),"")</f>
        <v>1</v>
      </c>
      <c r="T65" s="135"/>
      <c r="U65" s="136">
        <f t="shared" si="5"/>
        <v>0.81140479513670027</v>
      </c>
      <c r="V65" s="136"/>
      <c r="W65" s="137">
        <f t="shared" si="6"/>
        <v>0.20623205209724463</v>
      </c>
      <c r="X65" s="130">
        <f>IFERROR(_xlfn.XLOOKUP($A65,'Raw Data'!$G:$G,'Raw Data'!AI:AI),"")</f>
        <v>40077.699999999997</v>
      </c>
      <c r="Y65" s="130">
        <f>IFERROR(_xlfn.XLOOKUP($A65,'Raw Data'!$G:$G,'Raw Data'!AJ:AJ),"")</f>
        <v>39800.00000000291</v>
      </c>
      <c r="Z65" s="130">
        <f>IFERROR(_xlfn.XLOOKUP($A65,'Raw Data'!$G:$G,'Raw Data'!AK:AK),"")</f>
        <v>99.999999999965894</v>
      </c>
      <c r="AA65" s="130">
        <f>IFERROR(_xlfn.XLOOKUP($A65,'Raw Data'!$G:$G,'Raw Data'!AL:AL),"")</f>
        <v>39700.000000002947</v>
      </c>
      <c r="AB65" s="130">
        <f>IFERROR(_xlfn.XLOOKUP($A65,'Raw Data'!$G:$G,'Raw Data'!H:H),"")</f>
        <v>8.0208999999999993</v>
      </c>
      <c r="AC65" s="76">
        <f>IFERROR(_xlfn.XLOOKUP($D65,'Modelling New'!$D:$D,'Modelling New'!P:P),"")</f>
        <v>6.0129032258064514</v>
      </c>
      <c r="AD65" s="130">
        <f>IFERROR(_xlfn.XLOOKUP($D65,'Modelling New'!$D:$D,'Modelling New'!$T:$T)*1000,"")</f>
        <v>33577.74455581214</v>
      </c>
      <c r="AE65" s="138">
        <f>IFERROR(_xlfn.XLOOKUP($D65,'Modelling New'!$D:$D,'Modelling New'!O:O),"")</f>
        <v>0.69621632879901718</v>
      </c>
      <c r="AF65" s="137">
        <f>IFERROR(_xlfn.XLOOKUP($D65,'Modelling New'!$D:$D,'Modelling New'!W:W),"")</f>
        <v>0.17442839205394728</v>
      </c>
      <c r="AG65" s="137">
        <f>IFERROR(_xlfn.XLOOKUP($D65,'Modelling New'!$D:$D,'Modelling New'!AE:AE),"")</f>
        <v>0.98040000000000005</v>
      </c>
      <c r="AH65" s="156">
        <f>IFERROR(_xlfn.XLOOKUP($D65,'Modelling New'!$D:$D,'Modelling New'!AF:AF),"")</f>
        <v>0.98</v>
      </c>
      <c r="AN65" s="134"/>
      <c r="AO65" s="137"/>
      <c r="AP65" s="137"/>
      <c r="AQ65" s="137"/>
      <c r="AR65" s="130">
        <f>'Basic Data'!$B$98/1000</f>
        <v>8.0208999999999993</v>
      </c>
    </row>
    <row r="66" spans="1:44" x14ac:dyDescent="0.3">
      <c r="A66" s="129">
        <f t="shared" si="7"/>
        <v>45809</v>
      </c>
      <c r="B66" s="130">
        <f>YEAR(Table13[[#This Row],[Date]])+IF(MONTH(Table13[[#This Row],[Date]])&gt;=4,1,0)</f>
        <v>2026</v>
      </c>
      <c r="C66" s="7">
        <f>YEAR(Table13[[#This Row],[Date]])</f>
        <v>2025</v>
      </c>
      <c r="D66" s="131">
        <f>Table13[[#This Row],[Date]]-DAY(Table13[[#This Row],[Date]])+1</f>
        <v>45809</v>
      </c>
      <c r="E66" s="7">
        <f t="shared" si="4"/>
        <v>30</v>
      </c>
      <c r="F66" s="132">
        <f>IFERROR(_xlfn.XLOOKUP($A66,'Raw Data'!$G:$G,'Raw Data'!$AM:$AM),"")</f>
        <v>12.916666666666666</v>
      </c>
      <c r="G66" s="133">
        <f>IFERROR(_xlfn.XLOOKUP($A66,'Raw Data'!$G:$G,'Raw Data'!$AB:$AB),"")</f>
        <v>0</v>
      </c>
      <c r="H66" s="133"/>
      <c r="I66" s="133">
        <f>IFERROR(_xlfn.XLOOKUP($A66,'Raw Data'!$G:$G,'Raw Data'!$AC:$AC),"")</f>
        <v>5.88</v>
      </c>
      <c r="J66" s="133"/>
      <c r="K66" s="133">
        <f>IFERROR(_xlfn.XLOOKUP($A66,'Raw Data'!$G:$G,'Raw Data'!AD:AD),"")</f>
        <v>0</v>
      </c>
      <c r="L66" s="133">
        <f>IFERROR(_xlfn.XLOOKUP($A66,'Raw Data'!$G:$G,'Raw Data'!AE:AE),"")</f>
        <v>39.090000000000003</v>
      </c>
      <c r="M66" s="133">
        <f>IFERROR(_xlfn.XLOOKUP($A66,'Raw Data'!$G:$G,'Raw Data'!AF:AF),"")</f>
        <v>0</v>
      </c>
      <c r="N66" s="133">
        <f>IFERROR(_xlfn.XLOOKUP($A66,'Raw Data'!$G:$G,'Raw Data'!AG:AG),"")</f>
        <v>0</v>
      </c>
      <c r="O66" s="134">
        <f>IFERROR(1-SUMIF('Plant BD'!$H:$H,$A66,'Plant BD'!$AE:$AE)/($AA66+SUMIF('Plant BD'!$H:$H,$A66,'Plant BD'!$AE:$AE)),"")</f>
        <v>1</v>
      </c>
      <c r="P66" s="134"/>
      <c r="Q66" s="135"/>
      <c r="R66" s="134">
        <f>IFERROR(1-SUMIF('Grid BD'!$H:$H,$A66,'Grid BD'!$AD:$AD)/($AA66+SUMIF('Grid BD'!$H:$H,$A66,'Grid BD'!$AD:$AD)),"")</f>
        <v>1</v>
      </c>
      <c r="T66" s="135"/>
      <c r="U66" s="136">
        <f t="shared" si="5"/>
        <v>0.81631974561707965</v>
      </c>
      <c r="V66" s="136"/>
      <c r="W66" s="137">
        <f t="shared" si="6"/>
        <v>0.1999983376761845</v>
      </c>
      <c r="X66" s="130">
        <f>IFERROR(_xlfn.XLOOKUP($A66,'Raw Data'!$G:$G,'Raw Data'!AI:AI),"")</f>
        <v>38871.4</v>
      </c>
      <c r="Y66" s="130">
        <f>IFERROR(_xlfn.XLOOKUP($A66,'Raw Data'!$G:$G,'Raw Data'!AJ:AJ),"")</f>
        <v>38600.000000005821</v>
      </c>
      <c r="Z66" s="130">
        <f>IFERROR(_xlfn.XLOOKUP($A66,'Raw Data'!$G:$G,'Raw Data'!AK:AK),"")</f>
        <v>100.00000000002274</v>
      </c>
      <c r="AA66" s="130">
        <f>IFERROR(_xlfn.XLOOKUP($A66,'Raw Data'!$G:$G,'Raw Data'!AL:AL),"")</f>
        <v>38500.000000005799</v>
      </c>
      <c r="AB66" s="130">
        <f>IFERROR(_xlfn.XLOOKUP($A66,'Raw Data'!$G:$G,'Raw Data'!H:H),"")</f>
        <v>8.0208999999999993</v>
      </c>
      <c r="AC66" s="76">
        <f>IFERROR(_xlfn.XLOOKUP($D66,'Modelling New'!$D:$D,'Modelling New'!P:P),"")</f>
        <v>4.7600000000000007</v>
      </c>
      <c r="AD66" s="130">
        <f>IFERROR(_xlfn.XLOOKUP($D66,'Modelling New'!$D:$D,'Modelling New'!$T:$T)*1000,"")</f>
        <v>25919.748311299463</v>
      </c>
      <c r="AE66" s="138">
        <f>IFERROR(_xlfn.XLOOKUP($D66,'Modelling New'!$D:$D,'Modelling New'!O:O),"")</f>
        <v>0.67889205394445518</v>
      </c>
      <c r="AF66" s="137">
        <f>IFERROR(_xlfn.XLOOKUP($D66,'Modelling New'!$D:$D,'Modelling New'!W:W),"")</f>
        <v>0.13464692403231696</v>
      </c>
      <c r="AG66" s="137">
        <f>IFERROR(_xlfn.XLOOKUP($D66,'Modelling New'!$D:$D,'Modelling New'!AE:AE),"")</f>
        <v>0.98040000000000005</v>
      </c>
      <c r="AH66" s="156">
        <f>IFERROR(_xlfn.XLOOKUP($D66,'Modelling New'!$D:$D,'Modelling New'!AF:AF),"")</f>
        <v>0.98</v>
      </c>
      <c r="AN66" s="134"/>
      <c r="AO66" s="137"/>
      <c r="AP66" s="137"/>
      <c r="AQ66" s="137"/>
      <c r="AR66" s="130">
        <f>'Basic Data'!$B$98/1000</f>
        <v>8.0208999999999993</v>
      </c>
    </row>
    <row r="67" spans="1:44" x14ac:dyDescent="0.3">
      <c r="A67" s="129">
        <f t="shared" si="7"/>
        <v>45810</v>
      </c>
      <c r="B67" s="130">
        <f>YEAR(Table13[[#This Row],[Date]])+IF(MONTH(Table13[[#This Row],[Date]])&gt;=4,1,0)</f>
        <v>2026</v>
      </c>
      <c r="C67" s="7">
        <f>YEAR(Table13[[#This Row],[Date]])</f>
        <v>2025</v>
      </c>
      <c r="D67" s="131">
        <f>Table13[[#This Row],[Date]]-DAY(Table13[[#This Row],[Date]])+1</f>
        <v>45809</v>
      </c>
      <c r="E67" s="7">
        <f t="shared" si="4"/>
        <v>30</v>
      </c>
      <c r="F67" s="132">
        <f>IFERROR(_xlfn.XLOOKUP($A67,'Raw Data'!$G:$G,'Raw Data'!$AM:$AM),"")</f>
        <v>12.883333333333333</v>
      </c>
      <c r="G67" s="133">
        <f>IFERROR(_xlfn.XLOOKUP($A67,'Raw Data'!$G:$G,'Raw Data'!$AB:$AB),"")</f>
        <v>0</v>
      </c>
      <c r="H67" s="133"/>
      <c r="I67" s="133">
        <f>IFERROR(_xlfn.XLOOKUP($A67,'Raw Data'!$G:$G,'Raw Data'!$AC:$AC),"")</f>
        <v>4.76</v>
      </c>
      <c r="J67" s="133"/>
      <c r="K67" s="133">
        <f>IFERROR(_xlfn.XLOOKUP($A67,'Raw Data'!$G:$G,'Raw Data'!AD:AD),"")</f>
        <v>0</v>
      </c>
      <c r="L67" s="133">
        <f>IFERROR(_xlfn.XLOOKUP($A67,'Raw Data'!$G:$G,'Raw Data'!AE:AE),"")</f>
        <v>36.1</v>
      </c>
      <c r="M67" s="133">
        <f>IFERROR(_xlfn.XLOOKUP($A67,'Raw Data'!$G:$G,'Raw Data'!AF:AF),"")</f>
        <v>0</v>
      </c>
      <c r="N67" s="133">
        <f>IFERROR(_xlfn.XLOOKUP($A67,'Raw Data'!$G:$G,'Raw Data'!AG:AG),"")</f>
        <v>0</v>
      </c>
      <c r="O67" s="134">
        <f>IFERROR(1-SUMIF('Plant BD'!$H:$H,$A67,'Plant BD'!$AE:$AE)/($AA67+SUMIF('Plant BD'!$H:$H,$A67,'Plant BD'!$AE:$AE)),"")</f>
        <v>1</v>
      </c>
      <c r="P67" s="134"/>
      <c r="Q67" s="135"/>
      <c r="R67" s="134">
        <f>IFERROR(1-SUMIF('Grid BD'!$H:$H,$A67,'Grid BD'!$AD:$AD)/($AA67+SUMIF('Grid BD'!$H:$H,$A67,'Grid BD'!$AD:$AD)),"")</f>
        <v>1</v>
      </c>
      <c r="T67" s="135"/>
      <c r="U67" s="136">
        <f t="shared" si="5"/>
        <v>0.84600410000287496</v>
      </c>
      <c r="V67" s="136"/>
      <c r="W67" s="137">
        <f t="shared" si="6"/>
        <v>0.16779081316723682</v>
      </c>
      <c r="X67" s="130">
        <f>IFERROR(_xlfn.XLOOKUP($A67,'Raw Data'!$G:$G,'Raw Data'!AI:AI),"")</f>
        <v>32605.4</v>
      </c>
      <c r="Y67" s="130">
        <f>IFERROR(_xlfn.XLOOKUP($A67,'Raw Data'!$G:$G,'Raw Data'!AJ:AJ),"")</f>
        <v>32399.999999994179</v>
      </c>
      <c r="Z67" s="130">
        <f>IFERROR(_xlfn.XLOOKUP($A67,'Raw Data'!$G:$G,'Raw Data'!AK:AK),"")</f>
        <v>100.00000000002274</v>
      </c>
      <c r="AA67" s="130">
        <f>IFERROR(_xlfn.XLOOKUP($A67,'Raw Data'!$G:$G,'Raw Data'!AL:AL),"")</f>
        <v>32299.999999994157</v>
      </c>
      <c r="AB67" s="130">
        <f>IFERROR(_xlfn.XLOOKUP($A67,'Raw Data'!$G:$G,'Raw Data'!H:H),"")</f>
        <v>8.0208999999999993</v>
      </c>
      <c r="AC67" s="76">
        <f>IFERROR(_xlfn.XLOOKUP($D67,'Modelling New'!$D:$D,'Modelling New'!P:P),"")</f>
        <v>4.7600000000000007</v>
      </c>
      <c r="AD67" s="130">
        <f>IFERROR(_xlfn.XLOOKUP($D67,'Modelling New'!$D:$D,'Modelling New'!$T:$T)*1000,"")</f>
        <v>25919.748311299463</v>
      </c>
      <c r="AE67" s="138">
        <f>IFERROR(_xlfn.XLOOKUP($D67,'Modelling New'!$D:$D,'Modelling New'!O:O),"")</f>
        <v>0.67889205394445518</v>
      </c>
      <c r="AF67" s="137">
        <f>IFERROR(_xlfn.XLOOKUP($D67,'Modelling New'!$D:$D,'Modelling New'!W:W),"")</f>
        <v>0.13464692403231696</v>
      </c>
      <c r="AG67" s="137">
        <f>IFERROR(_xlfn.XLOOKUP($D67,'Modelling New'!$D:$D,'Modelling New'!AE:AE),"")</f>
        <v>0.98040000000000005</v>
      </c>
      <c r="AH67" s="156">
        <f>IFERROR(_xlfn.XLOOKUP($D67,'Modelling New'!$D:$D,'Modelling New'!AF:AF),"")</f>
        <v>0.98</v>
      </c>
      <c r="AN67" s="134"/>
      <c r="AO67" s="137"/>
      <c r="AP67" s="137"/>
      <c r="AQ67" s="137"/>
      <c r="AR67" s="130">
        <f>'Basic Data'!$B$98/1000</f>
        <v>8.0208999999999993</v>
      </c>
    </row>
    <row r="68" spans="1:44" x14ac:dyDescent="0.3">
      <c r="A68" s="129">
        <f t="shared" si="7"/>
        <v>45811</v>
      </c>
      <c r="B68" s="130">
        <f>YEAR(Table13[[#This Row],[Date]])+IF(MONTH(Table13[[#This Row],[Date]])&gt;=4,1,0)</f>
        <v>2026</v>
      </c>
      <c r="C68" s="7">
        <f>YEAR(Table13[[#This Row],[Date]])</f>
        <v>2025</v>
      </c>
      <c r="D68" s="131">
        <f>Table13[[#This Row],[Date]]-DAY(Table13[[#This Row],[Date]])+1</f>
        <v>45809</v>
      </c>
      <c r="E68" s="7">
        <f t="shared" si="4"/>
        <v>30</v>
      </c>
      <c r="F68" s="132">
        <f>IFERROR(_xlfn.XLOOKUP($A68,'Raw Data'!$G:$G,'Raw Data'!$AM:$AM),"")</f>
        <v>12.600000000000001</v>
      </c>
      <c r="G68" s="133">
        <f>IFERROR(_xlfn.XLOOKUP($A68,'Raw Data'!$G:$G,'Raw Data'!$AB:$AB),"")</f>
        <v>0</v>
      </c>
      <c r="H68" s="133"/>
      <c r="I68" s="133">
        <f>IFERROR(_xlfn.XLOOKUP($A68,'Raw Data'!$G:$G,'Raw Data'!$AC:$AC),"")</f>
        <v>5.86</v>
      </c>
      <c r="J68" s="133"/>
      <c r="K68" s="133">
        <f>IFERROR(_xlfn.XLOOKUP($A68,'Raw Data'!$G:$G,'Raw Data'!AD:AD),"")</f>
        <v>0</v>
      </c>
      <c r="L68" s="133">
        <f>IFERROR(_xlfn.XLOOKUP($A68,'Raw Data'!$G:$G,'Raw Data'!AE:AE),"")</f>
        <v>39.56</v>
      </c>
      <c r="M68" s="133">
        <f>IFERROR(_xlfn.XLOOKUP($A68,'Raw Data'!$G:$G,'Raw Data'!AF:AF),"")</f>
        <v>0</v>
      </c>
      <c r="N68" s="133">
        <f>IFERROR(_xlfn.XLOOKUP($A68,'Raw Data'!$G:$G,'Raw Data'!AG:AG),"")</f>
        <v>0</v>
      </c>
      <c r="O68" s="134">
        <f>IFERROR(1-SUMIF('Plant BD'!$H:$H,$A68,'Plant BD'!$AE:$AE)/($AA68+SUMIF('Plant BD'!$H:$H,$A68,'Plant BD'!$AE:$AE)),"")</f>
        <v>1</v>
      </c>
      <c r="P68" s="134"/>
      <c r="Q68" s="135"/>
      <c r="R68" s="134">
        <f>IFERROR(1-SUMIF('Grid BD'!$H:$H,$A68,'Grid BD'!$AD:$AD)/($AA68+SUMIF('Grid BD'!$H:$H,$A68,'Grid BD'!$AD:$AD)),"")</f>
        <v>1</v>
      </c>
      <c r="T68" s="135"/>
      <c r="U68" s="136">
        <f t="shared" si="5"/>
        <v>0.76591713023458841</v>
      </c>
      <c r="V68" s="136"/>
      <c r="W68" s="137">
        <f t="shared" si="6"/>
        <v>0.18701143263227868</v>
      </c>
      <c r="X68" s="130">
        <f>IFERROR(_xlfn.XLOOKUP($A68,'Raw Data'!$G:$G,'Raw Data'!AI:AI),"")</f>
        <v>36404</v>
      </c>
      <c r="Y68" s="130">
        <f>IFERROR(_xlfn.XLOOKUP($A68,'Raw Data'!$G:$G,'Raw Data'!AJ:AJ),"")</f>
        <v>36100.000000005821</v>
      </c>
      <c r="Z68" s="130">
        <f>IFERROR(_xlfn.XLOOKUP($A68,'Raw Data'!$G:$G,'Raw Data'!AK:AK),"")</f>
        <v>99.999999999965894</v>
      </c>
      <c r="AA68" s="130">
        <f>IFERROR(_xlfn.XLOOKUP($A68,'Raw Data'!$G:$G,'Raw Data'!AL:AL),"")</f>
        <v>36000.000000005857</v>
      </c>
      <c r="AB68" s="130">
        <f>IFERROR(_xlfn.XLOOKUP($A68,'Raw Data'!$G:$G,'Raw Data'!H:H),"")</f>
        <v>8.0208999999999993</v>
      </c>
      <c r="AC68" s="76">
        <f>IFERROR(_xlfn.XLOOKUP($D68,'Modelling New'!$D:$D,'Modelling New'!P:P),"")</f>
        <v>4.7600000000000007</v>
      </c>
      <c r="AD68" s="130">
        <f>IFERROR(_xlfn.XLOOKUP($D68,'Modelling New'!$D:$D,'Modelling New'!$T:$T)*1000,"")</f>
        <v>25919.748311299463</v>
      </c>
      <c r="AE68" s="138">
        <f>IFERROR(_xlfn.XLOOKUP($D68,'Modelling New'!$D:$D,'Modelling New'!O:O),"")</f>
        <v>0.67889205394445518</v>
      </c>
      <c r="AF68" s="137">
        <f>IFERROR(_xlfn.XLOOKUP($D68,'Modelling New'!$D:$D,'Modelling New'!W:W),"")</f>
        <v>0.13464692403231696</v>
      </c>
      <c r="AG68" s="137">
        <f>IFERROR(_xlfn.XLOOKUP($D68,'Modelling New'!$D:$D,'Modelling New'!AE:AE),"")</f>
        <v>0.98040000000000005</v>
      </c>
      <c r="AH68" s="156">
        <f>IFERROR(_xlfn.XLOOKUP($D68,'Modelling New'!$D:$D,'Modelling New'!AF:AF),"")</f>
        <v>0.98</v>
      </c>
      <c r="AN68" s="134"/>
      <c r="AO68" s="137"/>
      <c r="AP68" s="137"/>
      <c r="AQ68" s="137"/>
      <c r="AR68" s="130">
        <f>'Basic Data'!$B$98/1000</f>
        <v>8.0208999999999993</v>
      </c>
    </row>
    <row r="69" spans="1:44" x14ac:dyDescent="0.3">
      <c r="A69" s="129">
        <f t="shared" si="7"/>
        <v>45812</v>
      </c>
      <c r="B69" s="130">
        <f>YEAR(Table13[[#This Row],[Date]])+IF(MONTH(Table13[[#This Row],[Date]])&gt;=4,1,0)</f>
        <v>2026</v>
      </c>
      <c r="C69" s="7">
        <f>YEAR(Table13[[#This Row],[Date]])</f>
        <v>2025</v>
      </c>
      <c r="D69" s="131">
        <f>Table13[[#This Row],[Date]]-DAY(Table13[[#This Row],[Date]])+1</f>
        <v>45809</v>
      </c>
      <c r="E69" s="7">
        <f t="shared" si="4"/>
        <v>30</v>
      </c>
      <c r="F69" s="132">
        <f>IFERROR(_xlfn.XLOOKUP($A69,'Raw Data'!$G:$G,'Raw Data'!$AM:$AM),"")</f>
        <v>12.733333333333334</v>
      </c>
      <c r="G69" s="133">
        <f>IFERROR(_xlfn.XLOOKUP($A69,'Raw Data'!$G:$G,'Raw Data'!$AB:$AB),"")</f>
        <v>0</v>
      </c>
      <c r="H69" s="133"/>
      <c r="I69" s="133">
        <f>IFERROR(_xlfn.XLOOKUP($A69,'Raw Data'!$G:$G,'Raw Data'!$AC:$AC),"")</f>
        <v>6.25</v>
      </c>
      <c r="J69" s="133"/>
      <c r="K69" s="133">
        <f>IFERROR(_xlfn.XLOOKUP($A69,'Raw Data'!$G:$G,'Raw Data'!AD:AD),"")</f>
        <v>0</v>
      </c>
      <c r="L69" s="133">
        <f>IFERROR(_xlfn.XLOOKUP($A69,'Raw Data'!$G:$G,'Raw Data'!AE:AE),"")</f>
        <v>41.45</v>
      </c>
      <c r="M69" s="133">
        <f>IFERROR(_xlfn.XLOOKUP($A69,'Raw Data'!$G:$G,'Raw Data'!AF:AF),"")</f>
        <v>0</v>
      </c>
      <c r="N69" s="133">
        <f>IFERROR(_xlfn.XLOOKUP($A69,'Raw Data'!$G:$G,'Raw Data'!AG:AG),"")</f>
        <v>0</v>
      </c>
      <c r="O69" s="134">
        <f>IFERROR(1-SUMIF('Plant BD'!$H:$H,$A69,'Plant BD'!$AE:$AE)/($AA69+SUMIF('Plant BD'!$H:$H,$A69,'Plant BD'!$AE:$AE)),"")</f>
        <v>1</v>
      </c>
      <c r="P69" s="134"/>
      <c r="Q69" s="135"/>
      <c r="R69" s="134">
        <f>IFERROR(1-SUMIF('Grid BD'!$H:$H,$A69,'Grid BD'!$AD:$AD)/($AA69+SUMIF('Grid BD'!$H:$H,$A69,'Grid BD'!$AD:$AD)),"")</f>
        <v>1</v>
      </c>
      <c r="T69" s="135"/>
      <c r="U69" s="136">
        <f t="shared" si="5"/>
        <v>0.81287636050799794</v>
      </c>
      <c r="V69" s="136"/>
      <c r="W69" s="137">
        <f t="shared" si="6"/>
        <v>0.21168655221562441</v>
      </c>
      <c r="X69" s="130">
        <f>IFERROR(_xlfn.XLOOKUP($A69,'Raw Data'!$G:$G,'Raw Data'!AI:AI),"")</f>
        <v>41212.699999999997</v>
      </c>
      <c r="Y69" s="130">
        <f>IFERROR(_xlfn.XLOOKUP($A69,'Raw Data'!$G:$G,'Raw Data'!AJ:AJ),"")</f>
        <v>40849.999999991269</v>
      </c>
      <c r="Z69" s="130">
        <f>IFERROR(_xlfn.XLOOKUP($A69,'Raw Data'!$G:$G,'Raw Data'!AK:AK),"")</f>
        <v>100.00000000002274</v>
      </c>
      <c r="AA69" s="130">
        <f>IFERROR(_xlfn.XLOOKUP($A69,'Raw Data'!$G:$G,'Raw Data'!AL:AL),"")</f>
        <v>40749.999999991247</v>
      </c>
      <c r="AB69" s="130">
        <f>IFERROR(_xlfn.XLOOKUP($A69,'Raw Data'!$G:$G,'Raw Data'!H:H),"")</f>
        <v>8.0208999999999993</v>
      </c>
      <c r="AC69" s="76">
        <f>IFERROR(_xlfn.XLOOKUP($D69,'Modelling New'!$D:$D,'Modelling New'!P:P),"")</f>
        <v>4.7600000000000007</v>
      </c>
      <c r="AD69" s="130">
        <f>IFERROR(_xlfn.XLOOKUP($D69,'Modelling New'!$D:$D,'Modelling New'!$T:$T)*1000,"")</f>
        <v>25919.748311299463</v>
      </c>
      <c r="AE69" s="138">
        <f>IFERROR(_xlfn.XLOOKUP($D69,'Modelling New'!$D:$D,'Modelling New'!O:O),"")</f>
        <v>0.67889205394445518</v>
      </c>
      <c r="AF69" s="137">
        <f>IFERROR(_xlfn.XLOOKUP($D69,'Modelling New'!$D:$D,'Modelling New'!W:W),"")</f>
        <v>0.13464692403231696</v>
      </c>
      <c r="AG69" s="137">
        <f>IFERROR(_xlfn.XLOOKUP($D69,'Modelling New'!$D:$D,'Modelling New'!AE:AE),"")</f>
        <v>0.98040000000000005</v>
      </c>
      <c r="AH69" s="156">
        <f>IFERROR(_xlfn.XLOOKUP($D69,'Modelling New'!$D:$D,'Modelling New'!AF:AF),"")</f>
        <v>0.98</v>
      </c>
      <c r="AN69" s="134"/>
      <c r="AO69" s="137"/>
      <c r="AP69" s="137"/>
      <c r="AQ69" s="137"/>
      <c r="AR69" s="130">
        <f>'Basic Data'!$B$98/1000</f>
        <v>8.0208999999999993</v>
      </c>
    </row>
    <row r="70" spans="1:44" x14ac:dyDescent="0.3">
      <c r="A70" s="129">
        <f t="shared" si="7"/>
        <v>45813</v>
      </c>
      <c r="B70" s="130">
        <f>YEAR(Table13[[#This Row],[Date]])+IF(MONTH(Table13[[#This Row],[Date]])&gt;=4,1,0)</f>
        <v>2026</v>
      </c>
      <c r="C70" s="7">
        <f>YEAR(Table13[[#This Row],[Date]])</f>
        <v>2025</v>
      </c>
      <c r="D70" s="131">
        <f>Table13[[#This Row],[Date]]-DAY(Table13[[#This Row],[Date]])+1</f>
        <v>45809</v>
      </c>
      <c r="E70" s="7">
        <f t="shared" si="4"/>
        <v>30</v>
      </c>
      <c r="F70" s="132">
        <f>IFERROR(_xlfn.XLOOKUP($A70,'Raw Data'!$G:$G,'Raw Data'!$AM:$AM),"")</f>
        <v>12.616666666666667</v>
      </c>
      <c r="G70" s="133">
        <f>IFERROR(_xlfn.XLOOKUP($A70,'Raw Data'!$G:$G,'Raw Data'!$AB:$AB),"")</f>
        <v>0</v>
      </c>
      <c r="H70" s="133"/>
      <c r="I70" s="133">
        <f>IFERROR(_xlfn.XLOOKUP($A70,'Raw Data'!$G:$G,'Raw Data'!$AC:$AC),"")</f>
        <v>4.03</v>
      </c>
      <c r="J70" s="133"/>
      <c r="K70" s="133">
        <f>IFERROR(_xlfn.XLOOKUP($A70,'Raw Data'!$G:$G,'Raw Data'!AD:AD),"")</f>
        <v>0</v>
      </c>
      <c r="L70" s="133">
        <f>IFERROR(_xlfn.XLOOKUP($A70,'Raw Data'!$G:$G,'Raw Data'!AE:AE),"")</f>
        <v>37.67</v>
      </c>
      <c r="M70" s="133">
        <f>IFERROR(_xlfn.XLOOKUP($A70,'Raw Data'!$G:$G,'Raw Data'!AF:AF),"")</f>
        <v>0</v>
      </c>
      <c r="N70" s="133">
        <f>IFERROR(_xlfn.XLOOKUP($A70,'Raw Data'!$G:$G,'Raw Data'!AG:AG),"")</f>
        <v>0</v>
      </c>
      <c r="O70" s="134">
        <f>IFERROR(1-SUMIF('Plant BD'!$H:$H,$A70,'Plant BD'!$AE:$AE)/($AA70+SUMIF('Plant BD'!$H:$H,$A70,'Plant BD'!$AE:$AE)),"")</f>
        <v>1</v>
      </c>
      <c r="P70" s="134"/>
      <c r="Q70" s="135"/>
      <c r="R70" s="134">
        <f>IFERROR(1-SUMIF('Grid BD'!$H:$H,$A70,'Grid BD'!$AD:$AD)/($AA70+SUMIF('Grid BD'!$H:$H,$A70,'Grid BD'!$AD:$AD)),"")</f>
        <v>0.9715592000451031</v>
      </c>
      <c r="T70" s="135"/>
      <c r="U70" s="136">
        <f t="shared" si="5"/>
        <v>0.84766141507421155</v>
      </c>
      <c r="V70" s="136"/>
      <c r="W70" s="137">
        <f t="shared" si="6"/>
        <v>0.14233647928121135</v>
      </c>
      <c r="X70" s="130">
        <f>IFERROR(_xlfn.XLOOKUP($A70,'Raw Data'!$G:$G,'Raw Data'!AI:AI),"")</f>
        <v>27722.7</v>
      </c>
      <c r="Y70" s="130">
        <f>IFERROR(_xlfn.XLOOKUP($A70,'Raw Data'!$G:$G,'Raw Data'!AJ:AJ),"")</f>
        <v>27500</v>
      </c>
      <c r="Z70" s="130">
        <f>IFERROR(_xlfn.XLOOKUP($A70,'Raw Data'!$G:$G,'Raw Data'!AK:AK),"")</f>
        <v>99.999999999965894</v>
      </c>
      <c r="AA70" s="130">
        <f>IFERROR(_xlfn.XLOOKUP($A70,'Raw Data'!$G:$G,'Raw Data'!AL:AL),"")</f>
        <v>27400.000000000033</v>
      </c>
      <c r="AB70" s="130">
        <f>IFERROR(_xlfn.XLOOKUP($A70,'Raw Data'!$G:$G,'Raw Data'!H:H),"")</f>
        <v>8.0208999999999993</v>
      </c>
      <c r="AC70" s="76">
        <f>IFERROR(_xlfn.XLOOKUP($D70,'Modelling New'!$D:$D,'Modelling New'!P:P),"")</f>
        <v>4.7600000000000007</v>
      </c>
      <c r="AD70" s="130">
        <f>IFERROR(_xlfn.XLOOKUP($D70,'Modelling New'!$D:$D,'Modelling New'!$T:$T)*1000,"")</f>
        <v>25919.748311299463</v>
      </c>
      <c r="AE70" s="138">
        <f>IFERROR(_xlfn.XLOOKUP($D70,'Modelling New'!$D:$D,'Modelling New'!O:O),"")</f>
        <v>0.67889205394445518</v>
      </c>
      <c r="AF70" s="137">
        <f>IFERROR(_xlfn.XLOOKUP($D70,'Modelling New'!$D:$D,'Modelling New'!W:W),"")</f>
        <v>0.13464692403231696</v>
      </c>
      <c r="AG70" s="137">
        <f>IFERROR(_xlfn.XLOOKUP($D70,'Modelling New'!$D:$D,'Modelling New'!AE:AE),"")</f>
        <v>0.98040000000000005</v>
      </c>
      <c r="AH70" s="156">
        <f>IFERROR(_xlfn.XLOOKUP($D70,'Modelling New'!$D:$D,'Modelling New'!AF:AF),"")</f>
        <v>0.98</v>
      </c>
      <c r="AN70" s="134"/>
      <c r="AO70" s="137"/>
      <c r="AP70" s="137"/>
      <c r="AQ70" s="137"/>
      <c r="AR70" s="130">
        <f>'Basic Data'!$B$98/1000</f>
        <v>8.0208999999999993</v>
      </c>
    </row>
    <row r="71" spans="1:44" x14ac:dyDescent="0.3">
      <c r="A71" s="129">
        <f t="shared" si="7"/>
        <v>45814</v>
      </c>
      <c r="B71" s="130">
        <f>YEAR(Table13[[#This Row],[Date]])+IF(MONTH(Table13[[#This Row],[Date]])&gt;=4,1,0)</f>
        <v>2026</v>
      </c>
      <c r="C71" s="7">
        <f>YEAR(Table13[[#This Row],[Date]])</f>
        <v>2025</v>
      </c>
      <c r="D71" s="131">
        <f>Table13[[#This Row],[Date]]-DAY(Table13[[#This Row],[Date]])+1</f>
        <v>45809</v>
      </c>
      <c r="E71" s="7">
        <f t="shared" si="4"/>
        <v>30</v>
      </c>
      <c r="F71" s="132">
        <f>IFERROR(_xlfn.XLOOKUP($A71,'Raw Data'!$G:$G,'Raw Data'!$AM:$AM),"")</f>
        <v>12.483333333333334</v>
      </c>
      <c r="G71" s="133">
        <f>IFERROR(_xlfn.XLOOKUP($A71,'Raw Data'!$G:$G,'Raw Data'!$AB:$AB),"")</f>
        <v>0</v>
      </c>
      <c r="H71" s="133"/>
      <c r="I71" s="133">
        <f>IFERROR(_xlfn.XLOOKUP($A71,'Raw Data'!$G:$G,'Raw Data'!$AC:$AC),"")</f>
        <v>4.75</v>
      </c>
      <c r="J71" s="133"/>
      <c r="K71" s="133">
        <f>IFERROR(_xlfn.XLOOKUP($A71,'Raw Data'!$G:$G,'Raw Data'!AD:AD),"")</f>
        <v>0</v>
      </c>
      <c r="L71" s="133">
        <f>IFERROR(_xlfn.XLOOKUP($A71,'Raw Data'!$G:$G,'Raw Data'!AE:AE),"")</f>
        <v>41.22</v>
      </c>
      <c r="M71" s="133">
        <f>IFERROR(_xlfn.XLOOKUP($A71,'Raw Data'!$G:$G,'Raw Data'!AF:AF),"")</f>
        <v>0</v>
      </c>
      <c r="N71" s="133">
        <f>IFERROR(_xlfn.XLOOKUP($A71,'Raw Data'!$G:$G,'Raw Data'!AG:AG),"")</f>
        <v>0</v>
      </c>
      <c r="O71" s="134">
        <f>IFERROR(1-SUMIF('Plant BD'!$H:$H,$A71,'Plant BD'!$AE:$AE)/($AA71+SUMIF('Plant BD'!$H:$H,$A71,'Plant BD'!$AE:$AE)),"")</f>
        <v>1</v>
      </c>
      <c r="P71" s="134"/>
      <c r="Q71" s="135"/>
      <c r="R71" s="134">
        <f>IFERROR(1-SUMIF('Grid BD'!$H:$H,$A71,'Grid BD'!$AD:$AD)/($AA71+SUMIF('Grid BD'!$H:$H,$A71,'Grid BD'!$AD:$AD)),"")</f>
        <v>1</v>
      </c>
      <c r="T71" s="135"/>
      <c r="U71" s="136">
        <f t="shared" si="5"/>
        <v>0.78347947565923692</v>
      </c>
      <c r="V71" s="136"/>
      <c r="W71" s="137">
        <f t="shared" si="6"/>
        <v>0.15506364622422394</v>
      </c>
      <c r="X71" s="130">
        <f>IFERROR(_xlfn.XLOOKUP($A71,'Raw Data'!$G:$G,'Raw Data'!AI:AI),"")</f>
        <v>30212.799999999999</v>
      </c>
      <c r="Y71" s="130">
        <f>IFERROR(_xlfn.XLOOKUP($A71,'Raw Data'!$G:$G,'Raw Data'!AJ:AJ),"")</f>
        <v>29949.99999999709</v>
      </c>
      <c r="Z71" s="130">
        <f>IFERROR(_xlfn.XLOOKUP($A71,'Raw Data'!$G:$G,'Raw Data'!AK:AK),"")</f>
        <v>100.00000000002274</v>
      </c>
      <c r="AA71" s="130">
        <f>IFERROR(_xlfn.XLOOKUP($A71,'Raw Data'!$G:$G,'Raw Data'!AL:AL),"")</f>
        <v>29849.999999997068</v>
      </c>
      <c r="AB71" s="130">
        <f>IFERROR(_xlfn.XLOOKUP($A71,'Raw Data'!$G:$G,'Raw Data'!H:H),"")</f>
        <v>8.0208999999999993</v>
      </c>
      <c r="AC71" s="76">
        <f>IFERROR(_xlfn.XLOOKUP($D71,'Modelling New'!$D:$D,'Modelling New'!P:P),"")</f>
        <v>4.7600000000000007</v>
      </c>
      <c r="AD71" s="130">
        <f>IFERROR(_xlfn.XLOOKUP($D71,'Modelling New'!$D:$D,'Modelling New'!$T:$T)*1000,"")</f>
        <v>25919.748311299463</v>
      </c>
      <c r="AE71" s="138">
        <f>IFERROR(_xlfn.XLOOKUP($D71,'Modelling New'!$D:$D,'Modelling New'!O:O),"")</f>
        <v>0.67889205394445518</v>
      </c>
      <c r="AF71" s="137">
        <f>IFERROR(_xlfn.XLOOKUP($D71,'Modelling New'!$D:$D,'Modelling New'!W:W),"")</f>
        <v>0.13464692403231696</v>
      </c>
      <c r="AG71" s="137">
        <f>IFERROR(_xlfn.XLOOKUP($D71,'Modelling New'!$D:$D,'Modelling New'!AE:AE),"")</f>
        <v>0.98040000000000005</v>
      </c>
      <c r="AH71" s="156">
        <f>IFERROR(_xlfn.XLOOKUP($D71,'Modelling New'!$D:$D,'Modelling New'!AF:AF),"")</f>
        <v>0.98</v>
      </c>
      <c r="AN71" s="134"/>
      <c r="AO71" s="137"/>
      <c r="AP71" s="137"/>
      <c r="AQ71" s="137"/>
      <c r="AR71" s="130">
        <f>'Basic Data'!$B$98/1000</f>
        <v>8.0208999999999993</v>
      </c>
    </row>
    <row r="72" spans="1:44" x14ac:dyDescent="0.3">
      <c r="A72" s="129">
        <f t="shared" si="7"/>
        <v>45815</v>
      </c>
      <c r="B72" s="130">
        <f>YEAR(Table13[[#This Row],[Date]])+IF(MONTH(Table13[[#This Row],[Date]])&gt;=4,1,0)</f>
        <v>2026</v>
      </c>
      <c r="C72" s="7">
        <f>YEAR(Table13[[#This Row],[Date]])</f>
        <v>2025</v>
      </c>
      <c r="D72" s="131">
        <f>Table13[[#This Row],[Date]]-DAY(Table13[[#This Row],[Date]])+1</f>
        <v>45809</v>
      </c>
      <c r="E72" s="7">
        <f t="shared" si="4"/>
        <v>30</v>
      </c>
      <c r="F72" s="132">
        <f>IFERROR(_xlfn.XLOOKUP($A72,'Raw Data'!$G:$G,'Raw Data'!$AM:$AM),"")</f>
        <v>12.933333333333334</v>
      </c>
      <c r="G72" s="133">
        <f>IFERROR(_xlfn.XLOOKUP($A72,'Raw Data'!$G:$G,'Raw Data'!$AB:$AB),"")</f>
        <v>0</v>
      </c>
      <c r="H72" s="133"/>
      <c r="I72" s="133">
        <f>IFERROR(_xlfn.XLOOKUP($A72,'Raw Data'!$G:$G,'Raw Data'!$AC:$AC),"")</f>
        <v>4.29</v>
      </c>
      <c r="J72" s="133"/>
      <c r="K72" s="133">
        <f>IFERROR(_xlfn.XLOOKUP($A72,'Raw Data'!$G:$G,'Raw Data'!AD:AD),"")</f>
        <v>0</v>
      </c>
      <c r="L72" s="133">
        <f>IFERROR(_xlfn.XLOOKUP($A72,'Raw Data'!$G:$G,'Raw Data'!AE:AE),"")</f>
        <v>37.89</v>
      </c>
      <c r="M72" s="133">
        <f>IFERROR(_xlfn.XLOOKUP($A72,'Raw Data'!$G:$G,'Raw Data'!AF:AF),"")</f>
        <v>0</v>
      </c>
      <c r="N72" s="133">
        <f>IFERROR(_xlfn.XLOOKUP($A72,'Raw Data'!$G:$G,'Raw Data'!AG:AG),"")</f>
        <v>0</v>
      </c>
      <c r="O72" s="134">
        <f>IFERROR(1-SUMIF('Plant BD'!$H:$H,$A72,'Plant BD'!$AE:$AE)/($AA72+SUMIF('Plant BD'!$H:$H,$A72,'Plant BD'!$AE:$AE)),"")</f>
        <v>1</v>
      </c>
      <c r="P72" s="134"/>
      <c r="Q72" s="135"/>
      <c r="R72" s="134">
        <f>IFERROR(1-SUMIF('Grid BD'!$H:$H,$A72,'Grid BD'!$AD:$AD)/($AA72+SUMIF('Grid BD'!$H:$H,$A72,'Grid BD'!$AD:$AD)),"")</f>
        <v>0.89627224030414121</v>
      </c>
      <c r="T72" s="135"/>
      <c r="U72" s="136">
        <f t="shared" si="5"/>
        <v>0.72508706203187789</v>
      </c>
      <c r="V72" s="136"/>
      <c r="W72" s="137">
        <f t="shared" si="6"/>
        <v>0.12960931233819817</v>
      </c>
      <c r="X72" s="130">
        <f>IFERROR(_xlfn.XLOOKUP($A72,'Raw Data'!$G:$G,'Raw Data'!AI:AI),"")</f>
        <v>25280.1</v>
      </c>
      <c r="Y72" s="130">
        <f>IFERROR(_xlfn.XLOOKUP($A72,'Raw Data'!$G:$G,'Raw Data'!AJ:AJ),"")</f>
        <v>25050.00000000291</v>
      </c>
      <c r="Z72" s="130">
        <f>IFERROR(_xlfn.XLOOKUP($A72,'Raw Data'!$G:$G,'Raw Data'!AK:AK),"")</f>
        <v>100.00000000002274</v>
      </c>
      <c r="AA72" s="130">
        <f>IFERROR(_xlfn.XLOOKUP($A72,'Raw Data'!$G:$G,'Raw Data'!AL:AL),"")</f>
        <v>24950.000000002889</v>
      </c>
      <c r="AB72" s="130">
        <f>IFERROR(_xlfn.XLOOKUP($A72,'Raw Data'!$G:$G,'Raw Data'!H:H),"")</f>
        <v>8.0208999999999993</v>
      </c>
      <c r="AC72" s="76">
        <f>IFERROR(_xlfn.XLOOKUP($D72,'Modelling New'!$D:$D,'Modelling New'!P:P),"")</f>
        <v>4.7600000000000007</v>
      </c>
      <c r="AD72" s="130">
        <f>IFERROR(_xlfn.XLOOKUP($D72,'Modelling New'!$D:$D,'Modelling New'!$T:$T)*1000,"")</f>
        <v>25919.748311299463</v>
      </c>
      <c r="AE72" s="138">
        <f>IFERROR(_xlfn.XLOOKUP($D72,'Modelling New'!$D:$D,'Modelling New'!O:O),"")</f>
        <v>0.67889205394445518</v>
      </c>
      <c r="AF72" s="137">
        <f>IFERROR(_xlfn.XLOOKUP($D72,'Modelling New'!$D:$D,'Modelling New'!W:W),"")</f>
        <v>0.13464692403231696</v>
      </c>
      <c r="AG72" s="137">
        <f>IFERROR(_xlfn.XLOOKUP($D72,'Modelling New'!$D:$D,'Modelling New'!AE:AE),"")</f>
        <v>0.98040000000000005</v>
      </c>
      <c r="AH72" s="156">
        <f>IFERROR(_xlfn.XLOOKUP($D72,'Modelling New'!$D:$D,'Modelling New'!AF:AF),"")</f>
        <v>0.98</v>
      </c>
      <c r="AN72" s="134"/>
      <c r="AO72" s="137"/>
      <c r="AP72" s="137"/>
      <c r="AQ72" s="137"/>
      <c r="AR72" s="130">
        <f>'Basic Data'!$B$98/1000</f>
        <v>8.0208999999999993</v>
      </c>
    </row>
    <row r="73" spans="1:44" x14ac:dyDescent="0.3">
      <c r="A73" s="129">
        <f t="shared" si="7"/>
        <v>45816</v>
      </c>
      <c r="B73" s="130">
        <f>YEAR(Table13[[#This Row],[Date]])+IF(MONTH(Table13[[#This Row],[Date]])&gt;=4,1,0)</f>
        <v>2026</v>
      </c>
      <c r="C73" s="7">
        <f>YEAR(Table13[[#This Row],[Date]])</f>
        <v>2025</v>
      </c>
      <c r="D73" s="131">
        <f>Table13[[#This Row],[Date]]-DAY(Table13[[#This Row],[Date]])+1</f>
        <v>45809</v>
      </c>
      <c r="E73" s="7">
        <f t="shared" si="4"/>
        <v>30</v>
      </c>
      <c r="F73" s="132">
        <f>IFERROR(_xlfn.XLOOKUP($A73,'Raw Data'!$G:$G,'Raw Data'!$AM:$AM),"")</f>
        <v>12.533333333333335</v>
      </c>
      <c r="G73" s="133">
        <f>IFERROR(_xlfn.XLOOKUP($A73,'Raw Data'!$G:$G,'Raw Data'!$AB:$AB),"")</f>
        <v>0</v>
      </c>
      <c r="H73" s="133"/>
      <c r="I73" s="133">
        <f>IFERROR(_xlfn.XLOOKUP($A73,'Raw Data'!$G:$G,'Raw Data'!$AC:$AC),"")</f>
        <v>4.79</v>
      </c>
      <c r="J73" s="133"/>
      <c r="K73" s="133">
        <f>IFERROR(_xlfn.XLOOKUP($A73,'Raw Data'!$G:$G,'Raw Data'!AD:AD),"")</f>
        <v>0</v>
      </c>
      <c r="L73" s="133">
        <f>IFERROR(_xlfn.XLOOKUP($A73,'Raw Data'!$G:$G,'Raw Data'!AE:AE),"")</f>
        <v>38.24</v>
      </c>
      <c r="M73" s="133">
        <f>IFERROR(_xlfn.XLOOKUP($A73,'Raw Data'!$G:$G,'Raw Data'!AF:AF),"")</f>
        <v>0</v>
      </c>
      <c r="N73" s="133">
        <f>IFERROR(_xlfn.XLOOKUP($A73,'Raw Data'!$G:$G,'Raw Data'!AG:AG),"")</f>
        <v>0</v>
      </c>
      <c r="O73" s="134">
        <f>IFERROR(1-SUMIF('Plant BD'!$H:$H,$A73,'Plant BD'!$AE:$AE)/($AA73+SUMIF('Plant BD'!$H:$H,$A73,'Plant BD'!$AE:$AE)),"")</f>
        <v>1</v>
      </c>
      <c r="P73" s="134"/>
      <c r="Q73" s="135"/>
      <c r="R73" s="134">
        <f>IFERROR(1-SUMIF('Grid BD'!$H:$H,$A73,'Grid BD'!$AD:$AD)/($AA73+SUMIF('Grid BD'!$H:$H,$A73,'Grid BD'!$AD:$AD)),"")</f>
        <v>1</v>
      </c>
      <c r="T73" s="135"/>
      <c r="U73" s="136">
        <f t="shared" si="5"/>
        <v>0.82118450933181242</v>
      </c>
      <c r="V73" s="136"/>
      <c r="W73" s="137">
        <f t="shared" si="6"/>
        <v>0.16389474165414086</v>
      </c>
      <c r="X73" s="130">
        <f>IFERROR(_xlfn.XLOOKUP($A73,'Raw Data'!$G:$G,'Raw Data'!AI:AI),"")</f>
        <v>31919.200000000001</v>
      </c>
      <c r="Y73" s="130">
        <f>IFERROR(_xlfn.XLOOKUP($A73,'Raw Data'!$G:$G,'Raw Data'!AJ:AJ),"")</f>
        <v>31650.000000008731</v>
      </c>
      <c r="Z73" s="130">
        <f>IFERROR(_xlfn.XLOOKUP($A73,'Raw Data'!$G:$G,'Raw Data'!AK:AK),"")</f>
        <v>99.999999999965894</v>
      </c>
      <c r="AA73" s="130">
        <f>IFERROR(_xlfn.XLOOKUP($A73,'Raw Data'!$G:$G,'Raw Data'!AL:AL),"")</f>
        <v>31550.000000008764</v>
      </c>
      <c r="AB73" s="130">
        <f>IFERROR(_xlfn.XLOOKUP($A73,'Raw Data'!$G:$G,'Raw Data'!H:H),"")</f>
        <v>8.0208999999999993</v>
      </c>
      <c r="AC73" s="76">
        <f>IFERROR(_xlfn.XLOOKUP($D73,'Modelling New'!$D:$D,'Modelling New'!P:P),"")</f>
        <v>4.7600000000000007</v>
      </c>
      <c r="AD73" s="130">
        <f>IFERROR(_xlfn.XLOOKUP($D73,'Modelling New'!$D:$D,'Modelling New'!$T:$T)*1000,"")</f>
        <v>25919.748311299463</v>
      </c>
      <c r="AE73" s="138">
        <f>IFERROR(_xlfn.XLOOKUP($D73,'Modelling New'!$D:$D,'Modelling New'!O:O),"")</f>
        <v>0.67889205394445518</v>
      </c>
      <c r="AF73" s="137">
        <f>IFERROR(_xlfn.XLOOKUP($D73,'Modelling New'!$D:$D,'Modelling New'!W:W),"")</f>
        <v>0.13464692403231696</v>
      </c>
      <c r="AG73" s="137">
        <f>IFERROR(_xlfn.XLOOKUP($D73,'Modelling New'!$D:$D,'Modelling New'!AE:AE),"")</f>
        <v>0.98040000000000005</v>
      </c>
      <c r="AH73" s="156">
        <f>IFERROR(_xlfn.XLOOKUP($D73,'Modelling New'!$D:$D,'Modelling New'!AF:AF),"")</f>
        <v>0.98</v>
      </c>
      <c r="AN73" s="134"/>
      <c r="AO73" s="137"/>
      <c r="AP73" s="137"/>
      <c r="AQ73" s="137"/>
      <c r="AR73" s="130">
        <f>'Basic Data'!$B$98/1000</f>
        <v>8.0208999999999993</v>
      </c>
    </row>
    <row r="74" spans="1:44" x14ac:dyDescent="0.3">
      <c r="A74" s="129">
        <f t="shared" si="7"/>
        <v>45817</v>
      </c>
      <c r="B74" s="130">
        <f>YEAR(Table13[[#This Row],[Date]])+IF(MONTH(Table13[[#This Row],[Date]])&gt;=4,1,0)</f>
        <v>2026</v>
      </c>
      <c r="C74" s="7">
        <f>YEAR(Table13[[#This Row],[Date]])</f>
        <v>2025</v>
      </c>
      <c r="D74" s="131">
        <f>Table13[[#This Row],[Date]]-DAY(Table13[[#This Row],[Date]])+1</f>
        <v>45809</v>
      </c>
      <c r="E74" s="7">
        <f t="shared" si="4"/>
        <v>30</v>
      </c>
      <c r="F74" s="132">
        <f>IFERROR(_xlfn.XLOOKUP($A74,'Raw Data'!$G:$G,'Raw Data'!$AM:$AM),"")</f>
        <v>12.1</v>
      </c>
      <c r="G74" s="133">
        <f>IFERROR(_xlfn.XLOOKUP($A74,'Raw Data'!$G:$G,'Raw Data'!$AB:$AB),"")</f>
        <v>0</v>
      </c>
      <c r="H74" s="133"/>
      <c r="I74" s="133">
        <f>IFERROR(_xlfn.XLOOKUP($A74,'Raw Data'!$G:$G,'Raw Data'!$AC:$AC),"")</f>
        <v>1.05</v>
      </c>
      <c r="J74" s="133"/>
      <c r="K74" s="133">
        <f>IFERROR(_xlfn.XLOOKUP($A74,'Raw Data'!$G:$G,'Raw Data'!AD:AD),"")</f>
        <v>0</v>
      </c>
      <c r="L74" s="133">
        <f>IFERROR(_xlfn.XLOOKUP($A74,'Raw Data'!$G:$G,'Raw Data'!AE:AE),"")</f>
        <v>26.95</v>
      </c>
      <c r="M74" s="133">
        <f>IFERROR(_xlfn.XLOOKUP($A74,'Raw Data'!$G:$G,'Raw Data'!AF:AF),"")</f>
        <v>0</v>
      </c>
      <c r="N74" s="133">
        <f>IFERROR(_xlfn.XLOOKUP($A74,'Raw Data'!$G:$G,'Raw Data'!AG:AG),"")</f>
        <v>0</v>
      </c>
      <c r="O74" s="134">
        <f>IFERROR(1-SUMIF('Plant BD'!$H:$H,$A74,'Plant BD'!$AE:$AE)/($AA74+SUMIF('Plant BD'!$H:$H,$A74,'Plant BD'!$AE:$AE)),"")</f>
        <v>1</v>
      </c>
      <c r="P74" s="134"/>
      <c r="Q74" s="135"/>
      <c r="R74" s="134">
        <f>IFERROR(1-SUMIF('Grid BD'!$H:$H,$A74,'Grid BD'!$AD:$AD)/($AA74+SUMIF('Grid BD'!$H:$H,$A74,'Grid BD'!$AD:$AD)),"")</f>
        <v>0.59429440132234057</v>
      </c>
      <c r="T74" s="135"/>
      <c r="U74" s="136">
        <f t="shared" si="5"/>
        <v>0.53431837894824141</v>
      </c>
      <c r="V74" s="136"/>
      <c r="W74" s="137">
        <f t="shared" si="6"/>
        <v>2.3376429078985555E-2</v>
      </c>
      <c r="X74" s="130">
        <f>IFERROR(_xlfn.XLOOKUP($A74,'Raw Data'!$G:$G,'Raw Data'!AI:AI),"")</f>
        <v>4681</v>
      </c>
      <c r="Y74" s="130">
        <f>IFERROR(_xlfn.XLOOKUP($A74,'Raw Data'!$G:$G,'Raw Data'!AJ:AJ),"")</f>
        <v>4599.9999999912689</v>
      </c>
      <c r="Z74" s="130">
        <f>IFERROR(_xlfn.XLOOKUP($A74,'Raw Data'!$G:$G,'Raw Data'!AK:AK),"")</f>
        <v>100.00000000002274</v>
      </c>
      <c r="AA74" s="130">
        <f>IFERROR(_xlfn.XLOOKUP($A74,'Raw Data'!$G:$G,'Raw Data'!AL:AL),"")</f>
        <v>4499.9999999912461</v>
      </c>
      <c r="AB74" s="130">
        <f>IFERROR(_xlfn.XLOOKUP($A74,'Raw Data'!$G:$G,'Raw Data'!H:H),"")</f>
        <v>8.0208999999999993</v>
      </c>
      <c r="AC74" s="76">
        <f>IFERROR(_xlfn.XLOOKUP($D74,'Modelling New'!$D:$D,'Modelling New'!P:P),"")</f>
        <v>4.7600000000000007</v>
      </c>
      <c r="AD74" s="130">
        <f>IFERROR(_xlfn.XLOOKUP($D74,'Modelling New'!$D:$D,'Modelling New'!$T:$T)*1000,"")</f>
        <v>25919.748311299463</v>
      </c>
      <c r="AE74" s="138">
        <f>IFERROR(_xlfn.XLOOKUP($D74,'Modelling New'!$D:$D,'Modelling New'!O:O),"")</f>
        <v>0.67889205394445518</v>
      </c>
      <c r="AF74" s="137">
        <f>IFERROR(_xlfn.XLOOKUP($D74,'Modelling New'!$D:$D,'Modelling New'!W:W),"")</f>
        <v>0.13464692403231696</v>
      </c>
      <c r="AG74" s="137">
        <f>IFERROR(_xlfn.XLOOKUP($D74,'Modelling New'!$D:$D,'Modelling New'!AE:AE),"")</f>
        <v>0.98040000000000005</v>
      </c>
      <c r="AH74" s="156">
        <f>IFERROR(_xlfn.XLOOKUP($D74,'Modelling New'!$D:$D,'Modelling New'!AF:AF),"")</f>
        <v>0.98</v>
      </c>
      <c r="AN74" s="134"/>
      <c r="AO74" s="137"/>
      <c r="AP74" s="137"/>
      <c r="AQ74" s="137"/>
      <c r="AR74" s="130">
        <f>'Basic Data'!$B$98/1000</f>
        <v>8.0208999999999993</v>
      </c>
    </row>
    <row r="75" spans="1:44" x14ac:dyDescent="0.3">
      <c r="A75" s="129">
        <f t="shared" si="7"/>
        <v>45818</v>
      </c>
      <c r="B75" s="130">
        <f>YEAR(Table13[[#This Row],[Date]])+IF(MONTH(Table13[[#This Row],[Date]])&gt;=4,1,0)</f>
        <v>2026</v>
      </c>
      <c r="C75" s="7">
        <f>YEAR(Table13[[#This Row],[Date]])</f>
        <v>2025</v>
      </c>
      <c r="D75" s="131">
        <f>Table13[[#This Row],[Date]]-DAY(Table13[[#This Row],[Date]])+1</f>
        <v>45809</v>
      </c>
      <c r="E75" s="7">
        <f t="shared" si="4"/>
        <v>30</v>
      </c>
      <c r="F75" s="132">
        <f>IFERROR(_xlfn.XLOOKUP($A75,'Raw Data'!$G:$G,'Raw Data'!$AM:$AM),"")</f>
        <v>12.616666666666667</v>
      </c>
      <c r="G75" s="133">
        <f>IFERROR(_xlfn.XLOOKUP($A75,'Raw Data'!$G:$G,'Raw Data'!$AB:$AB),"")</f>
        <v>0</v>
      </c>
      <c r="H75" s="133"/>
      <c r="I75" s="133">
        <f>IFERROR(_xlfn.XLOOKUP($A75,'Raw Data'!$G:$G,'Raw Data'!$AC:$AC),"")</f>
        <v>1.62</v>
      </c>
      <c r="J75" s="133"/>
      <c r="K75" s="133">
        <f>IFERROR(_xlfn.XLOOKUP($A75,'Raw Data'!$G:$G,'Raw Data'!AD:AD),"")</f>
        <v>0</v>
      </c>
      <c r="L75" s="133">
        <f>IFERROR(_xlfn.XLOOKUP($A75,'Raw Data'!$G:$G,'Raw Data'!AE:AE),"")</f>
        <v>28.69</v>
      </c>
      <c r="M75" s="133">
        <f>IFERROR(_xlfn.XLOOKUP($A75,'Raw Data'!$G:$G,'Raw Data'!AF:AF),"")</f>
        <v>0</v>
      </c>
      <c r="N75" s="133">
        <f>IFERROR(_xlfn.XLOOKUP($A75,'Raw Data'!$G:$G,'Raw Data'!AG:AG),"")</f>
        <v>0</v>
      </c>
      <c r="O75" s="134">
        <f>IFERROR(1-SUMIF('Plant BD'!$H:$H,$A75,'Plant BD'!$AE:$AE)/($AA75+SUMIF('Plant BD'!$H:$H,$A75,'Plant BD'!$AE:$AE)),"")</f>
        <v>1</v>
      </c>
      <c r="P75" s="134"/>
      <c r="Q75" s="135"/>
      <c r="R75" s="134">
        <f>IFERROR(1-SUMIF('Grid BD'!$H:$H,$A75,'Grid BD'!$AD:$AD)/($AA75+SUMIF('Grid BD'!$H:$H,$A75,'Grid BD'!$AD:$AD)),"")</f>
        <v>1</v>
      </c>
      <c r="T75" s="135"/>
      <c r="U75" s="136">
        <f t="shared" si="5"/>
        <v>0.84655381026988707</v>
      </c>
      <c r="V75" s="136"/>
      <c r="W75" s="137">
        <f t="shared" si="6"/>
        <v>5.7142382193217378E-2</v>
      </c>
      <c r="X75" s="130">
        <f>IFERROR(_xlfn.XLOOKUP($A75,'Raw Data'!$G:$G,'Raw Data'!AI:AI),"")</f>
        <v>11204.900000000001</v>
      </c>
      <c r="Y75" s="130">
        <f>IFERROR(_xlfn.XLOOKUP($A75,'Raw Data'!$G:$G,'Raw Data'!AJ:AJ),"")</f>
        <v>11100.000000005821</v>
      </c>
      <c r="Z75" s="130">
        <f>IFERROR(_xlfn.XLOOKUP($A75,'Raw Data'!$G:$G,'Raw Data'!AK:AK),"")</f>
        <v>99.999999999965894</v>
      </c>
      <c r="AA75" s="130">
        <f>IFERROR(_xlfn.XLOOKUP($A75,'Raw Data'!$G:$G,'Raw Data'!AL:AL),"")</f>
        <v>11000.000000005855</v>
      </c>
      <c r="AB75" s="130">
        <f>IFERROR(_xlfn.XLOOKUP($A75,'Raw Data'!$G:$G,'Raw Data'!H:H),"")</f>
        <v>8.0208999999999993</v>
      </c>
      <c r="AC75" s="76">
        <f>IFERROR(_xlfn.XLOOKUP($D75,'Modelling New'!$D:$D,'Modelling New'!P:P),"")</f>
        <v>4.7600000000000007</v>
      </c>
      <c r="AD75" s="130">
        <f>IFERROR(_xlfn.XLOOKUP($D75,'Modelling New'!$D:$D,'Modelling New'!$T:$T)*1000,"")</f>
        <v>25919.748311299463</v>
      </c>
      <c r="AE75" s="138">
        <f>IFERROR(_xlfn.XLOOKUP($D75,'Modelling New'!$D:$D,'Modelling New'!O:O),"")</f>
        <v>0.67889205394445518</v>
      </c>
      <c r="AF75" s="137">
        <f>IFERROR(_xlfn.XLOOKUP($D75,'Modelling New'!$D:$D,'Modelling New'!W:W),"")</f>
        <v>0.13464692403231696</v>
      </c>
      <c r="AG75" s="137">
        <f>IFERROR(_xlfn.XLOOKUP($D75,'Modelling New'!$D:$D,'Modelling New'!AE:AE),"")</f>
        <v>0.98040000000000005</v>
      </c>
      <c r="AH75" s="156">
        <f>IFERROR(_xlfn.XLOOKUP($D75,'Modelling New'!$D:$D,'Modelling New'!AF:AF),"")</f>
        <v>0.98</v>
      </c>
      <c r="AN75" s="134"/>
      <c r="AO75" s="137"/>
      <c r="AP75" s="137"/>
      <c r="AQ75" s="137"/>
      <c r="AR75" s="130">
        <f>'Basic Data'!$B$98/1000</f>
        <v>8.0208999999999993</v>
      </c>
    </row>
    <row r="76" spans="1:44" x14ac:dyDescent="0.3">
      <c r="A76" s="129">
        <f t="shared" si="7"/>
        <v>45819</v>
      </c>
      <c r="B76" s="130">
        <f>YEAR(Table13[[#This Row],[Date]])+IF(MONTH(Table13[[#This Row],[Date]])&gt;=4,1,0)</f>
        <v>2026</v>
      </c>
      <c r="C76" s="7">
        <f>YEAR(Table13[[#This Row],[Date]])</f>
        <v>2025</v>
      </c>
      <c r="D76" s="131">
        <f>Table13[[#This Row],[Date]]-DAY(Table13[[#This Row],[Date]])+1</f>
        <v>45809</v>
      </c>
      <c r="E76" s="7">
        <f t="shared" si="4"/>
        <v>30</v>
      </c>
      <c r="F76" s="132">
        <f>IFERROR(_xlfn.XLOOKUP($A76,'Raw Data'!$G:$G,'Raw Data'!$AM:$AM),"")</f>
        <v>12.566666666666666</v>
      </c>
      <c r="G76" s="133">
        <f>IFERROR(_xlfn.XLOOKUP($A76,'Raw Data'!$G:$G,'Raw Data'!$AB:$AB),"")</f>
        <v>0</v>
      </c>
      <c r="H76" s="133"/>
      <c r="I76" s="133">
        <f>IFERROR(_xlfn.XLOOKUP($A76,'Raw Data'!$G:$G,'Raw Data'!$AC:$AC),"")</f>
        <v>3.59</v>
      </c>
      <c r="J76" s="133"/>
      <c r="K76" s="133">
        <f>IFERROR(_xlfn.XLOOKUP($A76,'Raw Data'!$G:$G,'Raw Data'!AD:AD),"")</f>
        <v>0</v>
      </c>
      <c r="L76" s="133">
        <f>IFERROR(_xlfn.XLOOKUP($A76,'Raw Data'!$G:$G,'Raw Data'!AE:AE),"")</f>
        <v>32.619999999999997</v>
      </c>
      <c r="M76" s="133">
        <f>IFERROR(_xlfn.XLOOKUP($A76,'Raw Data'!$G:$G,'Raw Data'!AF:AF),"")</f>
        <v>0</v>
      </c>
      <c r="N76" s="133">
        <f>IFERROR(_xlfn.XLOOKUP($A76,'Raw Data'!$G:$G,'Raw Data'!AG:AG),"")</f>
        <v>0</v>
      </c>
      <c r="O76" s="134">
        <f>IFERROR(1-SUMIF('Plant BD'!$H:$H,$A76,'Plant BD'!$AE:$AE)/($AA76+SUMIF('Plant BD'!$H:$H,$A76,'Plant BD'!$AE:$AE)),"")</f>
        <v>1</v>
      </c>
      <c r="P76" s="134"/>
      <c r="Q76" s="135"/>
      <c r="R76" s="134">
        <f>IFERROR(1-SUMIF('Grid BD'!$H:$H,$A76,'Grid BD'!$AD:$AD)/($AA76+SUMIF('Grid BD'!$H:$H,$A76,'Grid BD'!$AD:$AD)),"")</f>
        <v>1</v>
      </c>
      <c r="T76" s="135"/>
      <c r="U76" s="136">
        <f t="shared" si="5"/>
        <v>0.86473252972014447</v>
      </c>
      <c r="V76" s="136"/>
      <c r="W76" s="137">
        <f t="shared" si="6"/>
        <v>0.12934957423730492</v>
      </c>
      <c r="X76" s="130">
        <f>IFERROR(_xlfn.XLOOKUP($A76,'Raw Data'!$G:$G,'Raw Data'!AI:AI),"")</f>
        <v>25245</v>
      </c>
      <c r="Y76" s="130">
        <f>IFERROR(_xlfn.XLOOKUP($A76,'Raw Data'!$G:$G,'Raw Data'!AJ:AJ),"")</f>
        <v>25000</v>
      </c>
      <c r="Z76" s="130">
        <f>IFERROR(_xlfn.XLOOKUP($A76,'Raw Data'!$G:$G,'Raw Data'!AK:AK),"")</f>
        <v>100.00000000002274</v>
      </c>
      <c r="AA76" s="130">
        <f>IFERROR(_xlfn.XLOOKUP($A76,'Raw Data'!$G:$G,'Raw Data'!AL:AL),"")</f>
        <v>24899.999999999978</v>
      </c>
      <c r="AB76" s="130">
        <f>IFERROR(_xlfn.XLOOKUP($A76,'Raw Data'!$G:$G,'Raw Data'!H:H),"")</f>
        <v>8.0208999999999993</v>
      </c>
      <c r="AC76" s="76">
        <f>IFERROR(_xlfn.XLOOKUP($D76,'Modelling New'!$D:$D,'Modelling New'!P:P),"")</f>
        <v>4.7600000000000007</v>
      </c>
      <c r="AD76" s="130">
        <f>IFERROR(_xlfn.XLOOKUP($D76,'Modelling New'!$D:$D,'Modelling New'!$T:$T)*1000,"")</f>
        <v>25919.748311299463</v>
      </c>
      <c r="AE76" s="138">
        <f>IFERROR(_xlfn.XLOOKUP($D76,'Modelling New'!$D:$D,'Modelling New'!O:O),"")</f>
        <v>0.67889205394445518</v>
      </c>
      <c r="AF76" s="137">
        <f>IFERROR(_xlfn.XLOOKUP($D76,'Modelling New'!$D:$D,'Modelling New'!W:W),"")</f>
        <v>0.13464692403231696</v>
      </c>
      <c r="AG76" s="137">
        <f>IFERROR(_xlfn.XLOOKUP($D76,'Modelling New'!$D:$D,'Modelling New'!AE:AE),"")</f>
        <v>0.98040000000000005</v>
      </c>
      <c r="AH76" s="156">
        <f>IFERROR(_xlfn.XLOOKUP($D76,'Modelling New'!$D:$D,'Modelling New'!AF:AF),"")</f>
        <v>0.98</v>
      </c>
      <c r="AN76" s="134"/>
      <c r="AO76" s="137"/>
      <c r="AP76" s="137"/>
      <c r="AQ76" s="137"/>
      <c r="AR76" s="130">
        <f>'Basic Data'!$B$98/1000</f>
        <v>8.0208999999999993</v>
      </c>
    </row>
    <row r="77" spans="1:44" x14ac:dyDescent="0.3">
      <c r="A77" s="129">
        <f t="shared" si="7"/>
        <v>45820</v>
      </c>
      <c r="B77" s="130">
        <f>YEAR(Table13[[#This Row],[Date]])+IF(MONTH(Table13[[#This Row],[Date]])&gt;=4,1,0)</f>
        <v>2026</v>
      </c>
      <c r="C77" s="7">
        <f>YEAR(Table13[[#This Row],[Date]])</f>
        <v>2025</v>
      </c>
      <c r="D77" s="131">
        <f>Table13[[#This Row],[Date]]-DAY(Table13[[#This Row],[Date]])+1</f>
        <v>45809</v>
      </c>
      <c r="E77" s="7">
        <f t="shared" si="4"/>
        <v>30</v>
      </c>
      <c r="F77" s="132">
        <f>IFERROR(_xlfn.XLOOKUP($A77,'Raw Data'!$G:$G,'Raw Data'!$AM:$AM),"")</f>
        <v>12.633333333333333</v>
      </c>
      <c r="G77" s="133">
        <f>IFERROR(_xlfn.XLOOKUP($A77,'Raw Data'!$G:$G,'Raw Data'!$AB:$AB),"")</f>
        <v>0</v>
      </c>
      <c r="H77" s="133"/>
      <c r="I77" s="133">
        <f>IFERROR(_xlfn.XLOOKUP($A77,'Raw Data'!$G:$G,'Raw Data'!$AC:$AC),"")</f>
        <v>3.8</v>
      </c>
      <c r="J77" s="133"/>
      <c r="K77" s="133">
        <f>IFERROR(_xlfn.XLOOKUP($A77,'Raw Data'!$G:$G,'Raw Data'!AD:AD),"")</f>
        <v>0</v>
      </c>
      <c r="L77" s="133">
        <f>IFERROR(_xlfn.XLOOKUP($A77,'Raw Data'!$G:$G,'Raw Data'!AE:AE),"")</f>
        <v>36.04</v>
      </c>
      <c r="M77" s="133">
        <f>IFERROR(_xlfn.XLOOKUP($A77,'Raw Data'!$G:$G,'Raw Data'!AF:AF),"")</f>
        <v>0</v>
      </c>
      <c r="N77" s="133">
        <f>IFERROR(_xlfn.XLOOKUP($A77,'Raw Data'!$G:$G,'Raw Data'!AG:AG),"")</f>
        <v>0</v>
      </c>
      <c r="O77" s="134">
        <f>IFERROR(1-SUMIF('Plant BD'!$H:$H,$A77,'Plant BD'!$AE:$AE)/($AA77+SUMIF('Plant BD'!$H:$H,$A77,'Plant BD'!$AE:$AE)),"")</f>
        <v>1</v>
      </c>
      <c r="P77" s="134"/>
      <c r="Q77" s="135"/>
      <c r="R77" s="134">
        <f>IFERROR(1-SUMIF('Grid BD'!$H:$H,$A77,'Grid BD'!$AD:$AD)/($AA77+SUMIF('Grid BD'!$H:$H,$A77,'Grid BD'!$AD:$AD)),"")</f>
        <v>1</v>
      </c>
      <c r="T77" s="135"/>
      <c r="U77" s="136">
        <f t="shared" si="5"/>
        <v>0.83991099568158023</v>
      </c>
      <c r="V77" s="136"/>
      <c r="W77" s="137">
        <f t="shared" si="6"/>
        <v>0.13298590764958351</v>
      </c>
      <c r="X77" s="130">
        <f>IFERROR(_xlfn.XLOOKUP($A77,'Raw Data'!$G:$G,'Raw Data'!AI:AI),"")</f>
        <v>25924.200000000004</v>
      </c>
      <c r="Y77" s="130">
        <f>IFERROR(_xlfn.XLOOKUP($A77,'Raw Data'!$G:$G,'Raw Data'!AJ:AJ),"")</f>
        <v>25699.99999999709</v>
      </c>
      <c r="Z77" s="130">
        <f>IFERROR(_xlfn.XLOOKUP($A77,'Raw Data'!$G:$G,'Raw Data'!AK:AK),"")</f>
        <v>100.00000000002274</v>
      </c>
      <c r="AA77" s="130">
        <f>IFERROR(_xlfn.XLOOKUP($A77,'Raw Data'!$G:$G,'Raw Data'!AL:AL),"")</f>
        <v>25599.999999997068</v>
      </c>
      <c r="AB77" s="130">
        <f>IFERROR(_xlfn.XLOOKUP($A77,'Raw Data'!$G:$G,'Raw Data'!H:H),"")</f>
        <v>8.0208999999999993</v>
      </c>
      <c r="AC77" s="76">
        <f>IFERROR(_xlfn.XLOOKUP($D77,'Modelling New'!$D:$D,'Modelling New'!P:P),"")</f>
        <v>4.7600000000000007</v>
      </c>
      <c r="AD77" s="130">
        <f>IFERROR(_xlfn.XLOOKUP($D77,'Modelling New'!$D:$D,'Modelling New'!$T:$T)*1000,"")</f>
        <v>25919.748311299463</v>
      </c>
      <c r="AE77" s="138">
        <f>IFERROR(_xlfn.XLOOKUP($D77,'Modelling New'!$D:$D,'Modelling New'!O:O),"")</f>
        <v>0.67889205394445518</v>
      </c>
      <c r="AF77" s="137">
        <f>IFERROR(_xlfn.XLOOKUP($D77,'Modelling New'!$D:$D,'Modelling New'!W:W),"")</f>
        <v>0.13464692403231696</v>
      </c>
      <c r="AG77" s="137">
        <f>IFERROR(_xlfn.XLOOKUP($D77,'Modelling New'!$D:$D,'Modelling New'!AE:AE),"")</f>
        <v>0.98040000000000005</v>
      </c>
      <c r="AH77" s="156">
        <f>IFERROR(_xlfn.XLOOKUP($D77,'Modelling New'!$D:$D,'Modelling New'!AF:AF),"")</f>
        <v>0.98</v>
      </c>
      <c r="AN77" s="134"/>
      <c r="AO77" s="137"/>
      <c r="AP77" s="137"/>
      <c r="AQ77" s="137"/>
      <c r="AR77" s="130">
        <f>'Basic Data'!$B$98/1000</f>
        <v>8.0208999999999993</v>
      </c>
    </row>
    <row r="78" spans="1:44" x14ac:dyDescent="0.3">
      <c r="A78" s="129">
        <f t="shared" si="7"/>
        <v>45821</v>
      </c>
      <c r="B78" s="130">
        <f>YEAR(Table13[[#This Row],[Date]])+IF(MONTH(Table13[[#This Row],[Date]])&gt;=4,1,0)</f>
        <v>2026</v>
      </c>
      <c r="C78" s="7">
        <f>YEAR(Table13[[#This Row],[Date]])</f>
        <v>2025</v>
      </c>
      <c r="D78" s="131">
        <f>Table13[[#This Row],[Date]]-DAY(Table13[[#This Row],[Date]])+1</f>
        <v>45809</v>
      </c>
      <c r="E78" s="7">
        <f t="shared" si="4"/>
        <v>30</v>
      </c>
      <c r="F78" s="132">
        <f>IFERROR(_xlfn.XLOOKUP($A78,'Raw Data'!$G:$G,'Raw Data'!$AM:$AM),"")</f>
        <v>12.683333333333334</v>
      </c>
      <c r="G78" s="133">
        <f>IFERROR(_xlfn.XLOOKUP($A78,'Raw Data'!$G:$G,'Raw Data'!$AB:$AB),"")</f>
        <v>0</v>
      </c>
      <c r="H78" s="133"/>
      <c r="I78" s="133">
        <f>IFERROR(_xlfn.XLOOKUP($A78,'Raw Data'!$G:$G,'Raw Data'!$AC:$AC),"")</f>
        <v>4.26</v>
      </c>
      <c r="J78" s="133"/>
      <c r="K78" s="133">
        <f>IFERROR(_xlfn.XLOOKUP($A78,'Raw Data'!$G:$G,'Raw Data'!AD:AD),"")</f>
        <v>0</v>
      </c>
      <c r="L78" s="133">
        <f>IFERROR(_xlfn.XLOOKUP($A78,'Raw Data'!$G:$G,'Raw Data'!AE:AE),"")</f>
        <v>38.42</v>
      </c>
      <c r="M78" s="133">
        <f>IFERROR(_xlfn.XLOOKUP($A78,'Raw Data'!$G:$G,'Raw Data'!AF:AF),"")</f>
        <v>0</v>
      </c>
      <c r="N78" s="133">
        <f>IFERROR(_xlfn.XLOOKUP($A78,'Raw Data'!$G:$G,'Raw Data'!AG:AG),"")</f>
        <v>0</v>
      </c>
      <c r="O78" s="134">
        <f>IFERROR(1-SUMIF('Plant BD'!$H:$H,$A78,'Plant BD'!$AE:$AE)/($AA78+SUMIF('Plant BD'!$H:$H,$A78,'Plant BD'!$AE:$AE)),"")</f>
        <v>1</v>
      </c>
      <c r="P78" s="134"/>
      <c r="Q78" s="135"/>
      <c r="R78" s="134">
        <f>IFERROR(1-SUMIF('Grid BD'!$H:$H,$A78,'Grid BD'!$AD:$AD)/($AA78+SUMIF('Grid BD'!$H:$H,$A78,'Grid BD'!$AD:$AD)),"")</f>
        <v>1</v>
      </c>
      <c r="T78" s="135"/>
      <c r="U78" s="136">
        <f t="shared" si="5"/>
        <v>0.80482228441125536</v>
      </c>
      <c r="V78" s="136"/>
      <c r="W78" s="137">
        <f t="shared" si="6"/>
        <v>0.14285595548299782</v>
      </c>
      <c r="X78" s="130">
        <f>IFERROR(_xlfn.XLOOKUP($A78,'Raw Data'!$G:$G,'Raw Data'!AI:AI),"")</f>
        <v>27856.600000000002</v>
      </c>
      <c r="Y78" s="130">
        <f>IFERROR(_xlfn.XLOOKUP($A78,'Raw Data'!$G:$G,'Raw Data'!AJ:AJ),"")</f>
        <v>27600.000000005821</v>
      </c>
      <c r="Z78" s="130">
        <f>IFERROR(_xlfn.XLOOKUP($A78,'Raw Data'!$G:$G,'Raw Data'!AK:AK),"")</f>
        <v>99.999999999965894</v>
      </c>
      <c r="AA78" s="130">
        <f>IFERROR(_xlfn.XLOOKUP($A78,'Raw Data'!$G:$G,'Raw Data'!AL:AL),"")</f>
        <v>27500.000000005854</v>
      </c>
      <c r="AB78" s="130">
        <f>IFERROR(_xlfn.XLOOKUP($A78,'Raw Data'!$G:$G,'Raw Data'!H:H),"")</f>
        <v>8.0208999999999993</v>
      </c>
      <c r="AC78" s="76">
        <f>IFERROR(_xlfn.XLOOKUP($D78,'Modelling New'!$D:$D,'Modelling New'!P:P),"")</f>
        <v>4.7600000000000007</v>
      </c>
      <c r="AD78" s="130">
        <f>IFERROR(_xlfn.XLOOKUP($D78,'Modelling New'!$D:$D,'Modelling New'!$T:$T)*1000,"")</f>
        <v>25919.748311299463</v>
      </c>
      <c r="AE78" s="138">
        <f>IFERROR(_xlfn.XLOOKUP($D78,'Modelling New'!$D:$D,'Modelling New'!O:O),"")</f>
        <v>0.67889205394445518</v>
      </c>
      <c r="AF78" s="137">
        <f>IFERROR(_xlfn.XLOOKUP($D78,'Modelling New'!$D:$D,'Modelling New'!W:W),"")</f>
        <v>0.13464692403231696</v>
      </c>
      <c r="AG78" s="137">
        <f>IFERROR(_xlfn.XLOOKUP($D78,'Modelling New'!$D:$D,'Modelling New'!AE:AE),"")</f>
        <v>0.98040000000000005</v>
      </c>
      <c r="AH78" s="156">
        <f>IFERROR(_xlfn.XLOOKUP($D78,'Modelling New'!$D:$D,'Modelling New'!AF:AF),"")</f>
        <v>0.98</v>
      </c>
      <c r="AN78" s="134"/>
      <c r="AO78" s="137"/>
      <c r="AP78" s="137"/>
      <c r="AQ78" s="137"/>
      <c r="AR78" s="130">
        <f>'Basic Data'!$B$98/1000</f>
        <v>8.0208999999999993</v>
      </c>
    </row>
    <row r="79" spans="1:44" x14ac:dyDescent="0.3">
      <c r="A79" s="129">
        <f t="shared" si="7"/>
        <v>45822</v>
      </c>
      <c r="B79" s="130">
        <f>YEAR(Table13[[#This Row],[Date]])+IF(MONTH(Table13[[#This Row],[Date]])&gt;=4,1,0)</f>
        <v>2026</v>
      </c>
      <c r="C79" s="7">
        <f>YEAR(Table13[[#This Row],[Date]])</f>
        <v>2025</v>
      </c>
      <c r="D79" s="131">
        <f>Table13[[#This Row],[Date]]-DAY(Table13[[#This Row],[Date]])+1</f>
        <v>45809</v>
      </c>
      <c r="E79" s="7">
        <f t="shared" si="4"/>
        <v>30</v>
      </c>
      <c r="F79" s="132">
        <f>IFERROR(_xlfn.XLOOKUP($A79,'Raw Data'!$G:$G,'Raw Data'!$AM:$AM),"")</f>
        <v>12.883333333333333</v>
      </c>
      <c r="G79" s="133">
        <f>IFERROR(_xlfn.XLOOKUP($A79,'Raw Data'!$G:$G,'Raw Data'!$AB:$AB),"")</f>
        <v>0</v>
      </c>
      <c r="H79" s="133"/>
      <c r="I79" s="133">
        <f>IFERROR(_xlfn.XLOOKUP($A79,'Raw Data'!$G:$G,'Raw Data'!$AC:$AC),"")</f>
        <v>3.77</v>
      </c>
      <c r="J79" s="133"/>
      <c r="K79" s="133">
        <f>IFERROR(_xlfn.XLOOKUP($A79,'Raw Data'!$G:$G,'Raw Data'!AD:AD),"")</f>
        <v>0</v>
      </c>
      <c r="L79" s="133">
        <f>IFERROR(_xlfn.XLOOKUP($A79,'Raw Data'!$G:$G,'Raw Data'!AE:AE),"")</f>
        <v>35.770000000000003</v>
      </c>
      <c r="M79" s="133">
        <f>IFERROR(_xlfn.XLOOKUP($A79,'Raw Data'!$G:$G,'Raw Data'!AF:AF),"")</f>
        <v>0</v>
      </c>
      <c r="N79" s="133">
        <f>IFERROR(_xlfn.XLOOKUP($A79,'Raw Data'!$G:$G,'Raw Data'!AG:AG),"")</f>
        <v>0</v>
      </c>
      <c r="O79" s="134">
        <f>IFERROR(1-SUMIF('Plant BD'!$H:$H,$A79,'Plant BD'!$AE:$AE)/($AA79+SUMIF('Plant BD'!$H:$H,$A79,'Plant BD'!$AE:$AE)),"")</f>
        <v>1</v>
      </c>
      <c r="P79" s="134"/>
      <c r="Q79" s="135"/>
      <c r="R79" s="134">
        <f>IFERROR(1-SUMIF('Grid BD'!$H:$H,$A79,'Grid BD'!$AD:$AD)/($AA79+SUMIF('Grid BD'!$H:$H,$A79,'Grid BD'!$AD:$AD)),"")</f>
        <v>0.70453949099405611</v>
      </c>
      <c r="T79" s="135"/>
      <c r="U79" s="136">
        <f t="shared" si="5"/>
        <v>0.65148102968224753</v>
      </c>
      <c r="V79" s="136"/>
      <c r="W79" s="137">
        <f t="shared" si="6"/>
        <v>0.1023368117459197</v>
      </c>
      <c r="X79" s="130">
        <f>IFERROR(_xlfn.XLOOKUP($A79,'Raw Data'!$G:$G,'Raw Data'!AI:AI),"")</f>
        <v>20006</v>
      </c>
      <c r="Y79" s="130">
        <f>IFERROR(_xlfn.XLOOKUP($A79,'Raw Data'!$G:$G,'Raw Data'!AJ:AJ),"")</f>
        <v>19799.999999988358</v>
      </c>
      <c r="Z79" s="130">
        <f>IFERROR(_xlfn.XLOOKUP($A79,'Raw Data'!$G:$G,'Raw Data'!AK:AK),"")</f>
        <v>100.00000000002274</v>
      </c>
      <c r="AA79" s="130">
        <f>IFERROR(_xlfn.XLOOKUP($A79,'Raw Data'!$G:$G,'Raw Data'!AL:AL),"")</f>
        <v>19699.999999988337</v>
      </c>
      <c r="AB79" s="130">
        <f>IFERROR(_xlfn.XLOOKUP($A79,'Raw Data'!$G:$G,'Raw Data'!H:H),"")</f>
        <v>8.0208999999999993</v>
      </c>
      <c r="AC79" s="76">
        <f>IFERROR(_xlfn.XLOOKUP($D79,'Modelling New'!$D:$D,'Modelling New'!P:P),"")</f>
        <v>4.7600000000000007</v>
      </c>
      <c r="AD79" s="130">
        <f>IFERROR(_xlfn.XLOOKUP($D79,'Modelling New'!$D:$D,'Modelling New'!$T:$T)*1000,"")</f>
        <v>25919.748311299463</v>
      </c>
      <c r="AE79" s="138">
        <f>IFERROR(_xlfn.XLOOKUP($D79,'Modelling New'!$D:$D,'Modelling New'!O:O),"")</f>
        <v>0.67889205394445518</v>
      </c>
      <c r="AF79" s="137">
        <f>IFERROR(_xlfn.XLOOKUP($D79,'Modelling New'!$D:$D,'Modelling New'!W:W),"")</f>
        <v>0.13464692403231696</v>
      </c>
      <c r="AG79" s="137">
        <f>IFERROR(_xlfn.XLOOKUP($D79,'Modelling New'!$D:$D,'Modelling New'!AE:AE),"")</f>
        <v>0.98040000000000005</v>
      </c>
      <c r="AH79" s="156">
        <f>IFERROR(_xlfn.XLOOKUP($D79,'Modelling New'!$D:$D,'Modelling New'!AF:AF),"")</f>
        <v>0.98</v>
      </c>
      <c r="AN79" s="134"/>
      <c r="AO79" s="137"/>
      <c r="AP79" s="137"/>
      <c r="AQ79" s="137"/>
      <c r="AR79" s="130">
        <f>'Basic Data'!$B$98/1000</f>
        <v>8.0208999999999993</v>
      </c>
    </row>
    <row r="80" spans="1:44" x14ac:dyDescent="0.3">
      <c r="A80" s="129">
        <f t="shared" si="7"/>
        <v>45823</v>
      </c>
      <c r="B80" s="130">
        <f>YEAR(Table13[[#This Row],[Date]])+IF(MONTH(Table13[[#This Row],[Date]])&gt;=4,1,0)</f>
        <v>2026</v>
      </c>
      <c r="C80" s="7">
        <f>YEAR(Table13[[#This Row],[Date]])</f>
        <v>2025</v>
      </c>
      <c r="D80" s="131">
        <f>Table13[[#This Row],[Date]]-DAY(Table13[[#This Row],[Date]])+1</f>
        <v>45809</v>
      </c>
      <c r="E80" s="7">
        <f t="shared" si="4"/>
        <v>30</v>
      </c>
      <c r="F80" s="132">
        <f>IFERROR(_xlfn.XLOOKUP($A80,'Raw Data'!$G:$G,'Raw Data'!$AM:$AM),"")</f>
        <v>12.666666666666668</v>
      </c>
      <c r="G80" s="133">
        <f>IFERROR(_xlfn.XLOOKUP($A80,'Raw Data'!$G:$G,'Raw Data'!$AB:$AB),"")</f>
        <v>0</v>
      </c>
      <c r="H80" s="133"/>
      <c r="I80" s="133">
        <f>IFERROR(_xlfn.XLOOKUP($A80,'Raw Data'!$G:$G,'Raw Data'!$AC:$AC),"")</f>
        <v>3.78</v>
      </c>
      <c r="J80" s="133"/>
      <c r="K80" s="133">
        <f>IFERROR(_xlfn.XLOOKUP($A80,'Raw Data'!$G:$G,'Raw Data'!AD:AD),"")</f>
        <v>0</v>
      </c>
      <c r="L80" s="133">
        <f>IFERROR(_xlfn.XLOOKUP($A80,'Raw Data'!$G:$G,'Raw Data'!AE:AE),"")</f>
        <v>33.58</v>
      </c>
      <c r="M80" s="133">
        <f>IFERROR(_xlfn.XLOOKUP($A80,'Raw Data'!$G:$G,'Raw Data'!AF:AF),"")</f>
        <v>0</v>
      </c>
      <c r="N80" s="133">
        <f>IFERROR(_xlfn.XLOOKUP($A80,'Raw Data'!$G:$G,'Raw Data'!AG:AG),"")</f>
        <v>0</v>
      </c>
      <c r="O80" s="134">
        <f>IFERROR(1-SUMIF('Plant BD'!$H:$H,$A80,'Plant BD'!$AE:$AE)/($AA80+SUMIF('Plant BD'!$H:$H,$A80,'Plant BD'!$AE:$AE)),"")</f>
        <v>1</v>
      </c>
      <c r="P80" s="134"/>
      <c r="Q80" s="135"/>
      <c r="R80" s="134">
        <f>IFERROR(1-SUMIF('Grid BD'!$H:$H,$A80,'Grid BD'!$AD:$AD)/($AA80+SUMIF('Grid BD'!$H:$H,$A80,'Grid BD'!$AD:$AD)),"")</f>
        <v>1</v>
      </c>
      <c r="T80" s="135"/>
      <c r="U80" s="136">
        <f t="shared" si="5"/>
        <v>0.84270583840486457</v>
      </c>
      <c r="V80" s="136"/>
      <c r="W80" s="137">
        <f t="shared" si="6"/>
        <v>0.13272616954876615</v>
      </c>
      <c r="X80" s="130">
        <f>IFERROR(_xlfn.XLOOKUP($A80,'Raw Data'!$G:$G,'Raw Data'!AI:AI),"")</f>
        <v>25897.199999999997</v>
      </c>
      <c r="Y80" s="130">
        <f>IFERROR(_xlfn.XLOOKUP($A80,'Raw Data'!$G:$G,'Raw Data'!AJ:AJ),"")</f>
        <v>25650.000000008731</v>
      </c>
      <c r="Z80" s="130">
        <f>IFERROR(_xlfn.XLOOKUP($A80,'Raw Data'!$G:$G,'Raw Data'!AK:AK),"")</f>
        <v>99.999999999965894</v>
      </c>
      <c r="AA80" s="130">
        <f>IFERROR(_xlfn.XLOOKUP($A80,'Raw Data'!$G:$G,'Raw Data'!AL:AL),"")</f>
        <v>25550.000000008764</v>
      </c>
      <c r="AB80" s="130">
        <f>IFERROR(_xlfn.XLOOKUP($A80,'Raw Data'!$G:$G,'Raw Data'!H:H),"")</f>
        <v>8.0208999999999993</v>
      </c>
      <c r="AC80" s="76">
        <f>IFERROR(_xlfn.XLOOKUP($D80,'Modelling New'!$D:$D,'Modelling New'!P:P),"")</f>
        <v>4.7600000000000007</v>
      </c>
      <c r="AD80" s="130">
        <f>IFERROR(_xlfn.XLOOKUP($D80,'Modelling New'!$D:$D,'Modelling New'!$T:$T)*1000,"")</f>
        <v>25919.748311299463</v>
      </c>
      <c r="AE80" s="138">
        <f>IFERROR(_xlfn.XLOOKUP($D80,'Modelling New'!$D:$D,'Modelling New'!O:O),"")</f>
        <v>0.67889205394445518</v>
      </c>
      <c r="AF80" s="137">
        <f>IFERROR(_xlfn.XLOOKUP($D80,'Modelling New'!$D:$D,'Modelling New'!W:W),"")</f>
        <v>0.13464692403231696</v>
      </c>
      <c r="AG80" s="137">
        <f>IFERROR(_xlfn.XLOOKUP($D80,'Modelling New'!$D:$D,'Modelling New'!AE:AE),"")</f>
        <v>0.98040000000000005</v>
      </c>
      <c r="AH80" s="156">
        <f>IFERROR(_xlfn.XLOOKUP($D80,'Modelling New'!$D:$D,'Modelling New'!AF:AF),"")</f>
        <v>0.98</v>
      </c>
      <c r="AN80" s="134"/>
      <c r="AO80" s="137"/>
      <c r="AP80" s="137"/>
      <c r="AQ80" s="137"/>
      <c r="AR80" s="130">
        <f>'Basic Data'!$B$98/1000</f>
        <v>8.0208999999999993</v>
      </c>
    </row>
    <row r="81" spans="1:44" x14ac:dyDescent="0.3">
      <c r="A81" s="129">
        <f t="shared" si="7"/>
        <v>45824</v>
      </c>
      <c r="B81" s="130">
        <f>YEAR(Table13[[#This Row],[Date]])+IF(MONTH(Table13[[#This Row],[Date]])&gt;=4,1,0)</f>
        <v>2026</v>
      </c>
      <c r="C81" s="7">
        <f>YEAR(Table13[[#This Row],[Date]])</f>
        <v>2025</v>
      </c>
      <c r="D81" s="131">
        <f>Table13[[#This Row],[Date]]-DAY(Table13[[#This Row],[Date]])+1</f>
        <v>45809</v>
      </c>
      <c r="E81" s="7">
        <f t="shared" si="4"/>
        <v>30</v>
      </c>
      <c r="F81" s="132">
        <f>IFERROR(_xlfn.XLOOKUP($A81,'Raw Data'!$G:$G,'Raw Data'!$AM:$AM),"")</f>
        <v>12.933333333333334</v>
      </c>
      <c r="G81" s="133">
        <f>IFERROR(_xlfn.XLOOKUP($A81,'Raw Data'!$G:$G,'Raw Data'!$AB:$AB),"")</f>
        <v>0</v>
      </c>
      <c r="H81" s="133"/>
      <c r="I81" s="133">
        <f>IFERROR(_xlfn.XLOOKUP($A81,'Raw Data'!$G:$G,'Raw Data'!$AC:$AC),"")</f>
        <v>3.67</v>
      </c>
      <c r="J81" s="133"/>
      <c r="K81" s="133">
        <f>IFERROR(_xlfn.XLOOKUP($A81,'Raw Data'!$G:$G,'Raw Data'!AD:AD),"")</f>
        <v>0</v>
      </c>
      <c r="L81" s="133">
        <f>IFERROR(_xlfn.XLOOKUP($A81,'Raw Data'!$G:$G,'Raw Data'!AE:AE),"")</f>
        <v>32.799999999999997</v>
      </c>
      <c r="M81" s="133">
        <f>IFERROR(_xlfn.XLOOKUP($A81,'Raw Data'!$G:$G,'Raw Data'!AF:AF),"")</f>
        <v>0</v>
      </c>
      <c r="N81" s="133">
        <f>IFERROR(_xlfn.XLOOKUP($A81,'Raw Data'!$G:$G,'Raw Data'!AG:AG),"")</f>
        <v>0</v>
      </c>
      <c r="O81" s="134">
        <f>IFERROR(1-SUMIF('Plant BD'!$H:$H,$A81,'Plant BD'!$AE:$AE)/($AA81+SUMIF('Plant BD'!$H:$H,$A81,'Plant BD'!$AE:$AE)),"")</f>
        <v>1</v>
      </c>
      <c r="P81" s="134"/>
      <c r="Q81" s="135"/>
      <c r="R81" s="134">
        <f>IFERROR(1-SUMIF('Grid BD'!$H:$H,$A81,'Grid BD'!$AD:$AD)/($AA81+SUMIF('Grid BD'!$H:$H,$A81,'Grid BD'!$AD:$AD)),"")</f>
        <v>1</v>
      </c>
      <c r="T81" s="135"/>
      <c r="U81" s="136">
        <f t="shared" si="5"/>
        <v>0.83059573621417082</v>
      </c>
      <c r="V81" s="136"/>
      <c r="W81" s="137">
        <f t="shared" si="6"/>
        <v>0.12701193132941693</v>
      </c>
      <c r="X81" s="130">
        <f>IFERROR(_xlfn.XLOOKUP($A81,'Raw Data'!$G:$G,'Raw Data'!AI:AI),"")</f>
        <v>24766.199999999997</v>
      </c>
      <c r="Y81" s="130">
        <f>IFERROR(_xlfn.XLOOKUP($A81,'Raw Data'!$G:$G,'Raw Data'!AJ:AJ),"")</f>
        <v>24550.00000000291</v>
      </c>
      <c r="Z81" s="130">
        <f>IFERROR(_xlfn.XLOOKUP($A81,'Raw Data'!$G:$G,'Raw Data'!AK:AK),"")</f>
        <v>100.00000000002274</v>
      </c>
      <c r="AA81" s="130">
        <f>IFERROR(_xlfn.XLOOKUP($A81,'Raw Data'!$G:$G,'Raw Data'!AL:AL),"")</f>
        <v>24450.000000002889</v>
      </c>
      <c r="AB81" s="130">
        <f>IFERROR(_xlfn.XLOOKUP($A81,'Raw Data'!$G:$G,'Raw Data'!H:H),"")</f>
        <v>8.0208999999999993</v>
      </c>
      <c r="AC81" s="76">
        <f>IFERROR(_xlfn.XLOOKUP($D81,'Modelling New'!$D:$D,'Modelling New'!P:P),"")</f>
        <v>4.7600000000000007</v>
      </c>
      <c r="AD81" s="130">
        <f>IFERROR(_xlfn.XLOOKUP($D81,'Modelling New'!$D:$D,'Modelling New'!$T:$T)*1000,"")</f>
        <v>25919.748311299463</v>
      </c>
      <c r="AE81" s="138">
        <f>IFERROR(_xlfn.XLOOKUP($D81,'Modelling New'!$D:$D,'Modelling New'!O:O),"")</f>
        <v>0.67889205394445518</v>
      </c>
      <c r="AF81" s="137">
        <f>IFERROR(_xlfn.XLOOKUP($D81,'Modelling New'!$D:$D,'Modelling New'!W:W),"")</f>
        <v>0.13464692403231696</v>
      </c>
      <c r="AG81" s="137">
        <f>IFERROR(_xlfn.XLOOKUP($D81,'Modelling New'!$D:$D,'Modelling New'!AE:AE),"")</f>
        <v>0.98040000000000005</v>
      </c>
      <c r="AH81" s="156">
        <f>IFERROR(_xlfn.XLOOKUP($D81,'Modelling New'!$D:$D,'Modelling New'!AF:AF),"")</f>
        <v>0.98</v>
      </c>
      <c r="AN81" s="134"/>
      <c r="AO81" s="137"/>
      <c r="AP81" s="137"/>
      <c r="AQ81" s="137"/>
      <c r="AR81" s="130">
        <f>'Basic Data'!$B$98/1000</f>
        <v>8.0208999999999993</v>
      </c>
    </row>
    <row r="82" spans="1:44" x14ac:dyDescent="0.3">
      <c r="A82" s="129">
        <f t="shared" si="7"/>
        <v>45825</v>
      </c>
      <c r="B82" s="130">
        <f>YEAR(Table13[[#This Row],[Date]])+IF(MONTH(Table13[[#This Row],[Date]])&gt;=4,1,0)</f>
        <v>2026</v>
      </c>
      <c r="C82" s="7">
        <f>YEAR(Table13[[#This Row],[Date]])</f>
        <v>2025</v>
      </c>
      <c r="D82" s="131">
        <f>Table13[[#This Row],[Date]]-DAY(Table13[[#This Row],[Date]])+1</f>
        <v>45809</v>
      </c>
      <c r="E82" s="7">
        <f t="shared" si="4"/>
        <v>30</v>
      </c>
      <c r="F82" s="132">
        <f>IFERROR(_xlfn.XLOOKUP($A82,'Raw Data'!$G:$G,'Raw Data'!$AM:$AM),"")</f>
        <v>12.716666666666667</v>
      </c>
      <c r="G82" s="133">
        <f>IFERROR(_xlfn.XLOOKUP($A82,'Raw Data'!$G:$G,'Raw Data'!$AB:$AB),"")</f>
        <v>0</v>
      </c>
      <c r="H82" s="133"/>
      <c r="I82" s="133">
        <f>IFERROR(_xlfn.XLOOKUP($A82,'Raw Data'!$G:$G,'Raw Data'!$AC:$AC),"")</f>
        <v>5.07</v>
      </c>
      <c r="J82" s="133"/>
      <c r="K82" s="133">
        <f>IFERROR(_xlfn.XLOOKUP($A82,'Raw Data'!$G:$G,'Raw Data'!AD:AD),"")</f>
        <v>0</v>
      </c>
      <c r="L82" s="133">
        <f>IFERROR(_xlfn.XLOOKUP($A82,'Raw Data'!$G:$G,'Raw Data'!AE:AE),"")</f>
        <v>36.869999999999997</v>
      </c>
      <c r="M82" s="133">
        <f>IFERROR(_xlfn.XLOOKUP($A82,'Raw Data'!$G:$G,'Raw Data'!AF:AF),"")</f>
        <v>0</v>
      </c>
      <c r="N82" s="133">
        <f>IFERROR(_xlfn.XLOOKUP($A82,'Raw Data'!$G:$G,'Raw Data'!AG:AG),"")</f>
        <v>0</v>
      </c>
      <c r="O82" s="134">
        <f>IFERROR(1-SUMIF('Plant BD'!$H:$H,$A82,'Plant BD'!$AE:$AE)/($AA82+SUMIF('Plant BD'!$H:$H,$A82,'Plant BD'!$AE:$AE)),"")</f>
        <v>1</v>
      </c>
      <c r="P82" s="134"/>
      <c r="Q82" s="135"/>
      <c r="R82" s="134">
        <f>IFERROR(1-SUMIF('Grid BD'!$H:$H,$A82,'Grid BD'!$AD:$AD)/($AA82+SUMIF('Grid BD'!$H:$H,$A82,'Grid BD'!$AD:$AD)),"")</f>
        <v>0.89419956515826693</v>
      </c>
      <c r="T82" s="135"/>
      <c r="U82" s="136">
        <f t="shared" si="5"/>
        <v>0.7168156819500372</v>
      </c>
      <c r="V82" s="136"/>
      <c r="W82" s="137">
        <f t="shared" si="6"/>
        <v>0.15142731281194535</v>
      </c>
      <c r="X82" s="130">
        <f>IFERROR(_xlfn.XLOOKUP($A82,'Raw Data'!$G:$G,'Raw Data'!AI:AI),"")</f>
        <v>29483</v>
      </c>
      <c r="Y82" s="130">
        <f>IFERROR(_xlfn.XLOOKUP($A82,'Raw Data'!$G:$G,'Raw Data'!AJ:AJ),"")</f>
        <v>29250</v>
      </c>
      <c r="Z82" s="130">
        <f>IFERROR(_xlfn.XLOOKUP($A82,'Raw Data'!$G:$G,'Raw Data'!AK:AK),"")</f>
        <v>100.00000000002274</v>
      </c>
      <c r="AA82" s="130">
        <f>IFERROR(_xlfn.XLOOKUP($A82,'Raw Data'!$G:$G,'Raw Data'!AL:AL),"")</f>
        <v>29149.999999999978</v>
      </c>
      <c r="AB82" s="130">
        <f>IFERROR(_xlfn.XLOOKUP($A82,'Raw Data'!$G:$G,'Raw Data'!H:H),"")</f>
        <v>8.0208999999999993</v>
      </c>
      <c r="AC82" s="76">
        <f>IFERROR(_xlfn.XLOOKUP($D82,'Modelling New'!$D:$D,'Modelling New'!P:P),"")</f>
        <v>4.7600000000000007</v>
      </c>
      <c r="AD82" s="130">
        <f>IFERROR(_xlfn.XLOOKUP($D82,'Modelling New'!$D:$D,'Modelling New'!$T:$T)*1000,"")</f>
        <v>25919.748311299463</v>
      </c>
      <c r="AE82" s="138">
        <f>IFERROR(_xlfn.XLOOKUP($D82,'Modelling New'!$D:$D,'Modelling New'!O:O),"")</f>
        <v>0.67889205394445518</v>
      </c>
      <c r="AF82" s="137">
        <f>IFERROR(_xlfn.XLOOKUP($D82,'Modelling New'!$D:$D,'Modelling New'!W:W),"")</f>
        <v>0.13464692403231696</v>
      </c>
      <c r="AG82" s="137">
        <f>IFERROR(_xlfn.XLOOKUP($D82,'Modelling New'!$D:$D,'Modelling New'!AE:AE),"")</f>
        <v>0.98040000000000005</v>
      </c>
      <c r="AH82" s="156">
        <f>IFERROR(_xlfn.XLOOKUP($D82,'Modelling New'!$D:$D,'Modelling New'!AF:AF),"")</f>
        <v>0.98</v>
      </c>
      <c r="AN82" s="134"/>
      <c r="AO82" s="137"/>
      <c r="AP82" s="137"/>
      <c r="AQ82" s="137"/>
      <c r="AR82" s="130">
        <f>'Basic Data'!$B$98/1000</f>
        <v>8.0208999999999993</v>
      </c>
    </row>
    <row r="83" spans="1:44" x14ac:dyDescent="0.3">
      <c r="A83" s="129">
        <f t="shared" si="7"/>
        <v>45826</v>
      </c>
      <c r="B83" s="130">
        <f>YEAR(Table13[[#This Row],[Date]])+IF(MONTH(Table13[[#This Row],[Date]])&gt;=4,1,0)</f>
        <v>2026</v>
      </c>
      <c r="C83" s="7">
        <f>YEAR(Table13[[#This Row],[Date]])</f>
        <v>2025</v>
      </c>
      <c r="D83" s="131">
        <f>Table13[[#This Row],[Date]]-DAY(Table13[[#This Row],[Date]])+1</f>
        <v>45809</v>
      </c>
      <c r="E83" s="7">
        <f t="shared" si="4"/>
        <v>30</v>
      </c>
      <c r="F83" s="132">
        <f>IFERROR(_xlfn.XLOOKUP($A83,'Raw Data'!$G:$G,'Raw Data'!$AM:$AM),"")</f>
        <v>12.85</v>
      </c>
      <c r="G83" s="133">
        <f>IFERROR(_xlfn.XLOOKUP($A83,'Raw Data'!$G:$G,'Raw Data'!$AB:$AB),"")</f>
        <v>0</v>
      </c>
      <c r="H83" s="133"/>
      <c r="I83" s="133">
        <f>IFERROR(_xlfn.XLOOKUP($A83,'Raw Data'!$G:$G,'Raw Data'!$AC:$AC),"")</f>
        <v>4.9800000000000004</v>
      </c>
      <c r="J83" s="133"/>
      <c r="K83" s="133">
        <f>IFERROR(_xlfn.XLOOKUP($A83,'Raw Data'!$G:$G,'Raw Data'!AD:AD),"")</f>
        <v>0</v>
      </c>
      <c r="L83" s="133">
        <f>IFERROR(_xlfn.XLOOKUP($A83,'Raw Data'!$G:$G,'Raw Data'!AE:AE),"")</f>
        <v>36.69</v>
      </c>
      <c r="M83" s="133">
        <f>IFERROR(_xlfn.XLOOKUP($A83,'Raw Data'!$G:$G,'Raw Data'!AF:AF),"")</f>
        <v>0</v>
      </c>
      <c r="N83" s="133">
        <f>IFERROR(_xlfn.XLOOKUP($A83,'Raw Data'!$G:$G,'Raw Data'!AG:AG),"")</f>
        <v>0</v>
      </c>
      <c r="O83" s="134">
        <f>IFERROR(1-SUMIF('Plant BD'!$H:$H,$A83,'Plant BD'!$AE:$AE)/($AA83+SUMIF('Plant BD'!$H:$H,$A83,'Plant BD'!$AE:$AE)),"")</f>
        <v>1</v>
      </c>
      <c r="P83" s="134"/>
      <c r="Q83" s="135"/>
      <c r="R83" s="134">
        <f>IFERROR(1-SUMIF('Grid BD'!$H:$H,$A83,'Grid BD'!$AD:$AD)/($AA83+SUMIF('Grid BD'!$H:$H,$A83,'Grid BD'!$AD:$AD)),"")</f>
        <v>0.97106327640717394</v>
      </c>
      <c r="T83" s="135"/>
      <c r="U83" s="136">
        <f t="shared" si="5"/>
        <v>0.8086304249023476</v>
      </c>
      <c r="V83" s="136"/>
      <c r="W83" s="137">
        <f t="shared" si="6"/>
        <v>0.1677908131672371</v>
      </c>
      <c r="X83" s="130">
        <f>IFERROR(_xlfn.XLOOKUP($A83,'Raw Data'!$G:$G,'Raw Data'!AI:AI),"")</f>
        <v>32705.200000000001</v>
      </c>
      <c r="Y83" s="130">
        <f>IFERROR(_xlfn.XLOOKUP($A83,'Raw Data'!$G:$G,'Raw Data'!AJ:AJ),"")</f>
        <v>32399.999999994179</v>
      </c>
      <c r="Z83" s="130">
        <f>IFERROR(_xlfn.XLOOKUP($A83,'Raw Data'!$G:$G,'Raw Data'!AK:AK),"")</f>
        <v>99.999999999965894</v>
      </c>
      <c r="AA83" s="130">
        <f>IFERROR(_xlfn.XLOOKUP($A83,'Raw Data'!$G:$G,'Raw Data'!AL:AL),"")</f>
        <v>32299.999999994212</v>
      </c>
      <c r="AB83" s="130">
        <f>IFERROR(_xlfn.XLOOKUP($A83,'Raw Data'!$G:$G,'Raw Data'!H:H),"")</f>
        <v>8.0208999999999993</v>
      </c>
      <c r="AC83" s="76">
        <f>IFERROR(_xlfn.XLOOKUP($D83,'Modelling New'!$D:$D,'Modelling New'!P:P),"")</f>
        <v>4.7600000000000007</v>
      </c>
      <c r="AD83" s="130">
        <f>IFERROR(_xlfn.XLOOKUP($D83,'Modelling New'!$D:$D,'Modelling New'!$T:$T)*1000,"")</f>
        <v>25919.748311299463</v>
      </c>
      <c r="AE83" s="138">
        <f>IFERROR(_xlfn.XLOOKUP($D83,'Modelling New'!$D:$D,'Modelling New'!O:O),"")</f>
        <v>0.67889205394445518</v>
      </c>
      <c r="AF83" s="137">
        <f>IFERROR(_xlfn.XLOOKUP($D83,'Modelling New'!$D:$D,'Modelling New'!W:W),"")</f>
        <v>0.13464692403231696</v>
      </c>
      <c r="AG83" s="137">
        <f>IFERROR(_xlfn.XLOOKUP($D83,'Modelling New'!$D:$D,'Modelling New'!AE:AE),"")</f>
        <v>0.98040000000000005</v>
      </c>
      <c r="AH83" s="156">
        <f>IFERROR(_xlfn.XLOOKUP($D83,'Modelling New'!$D:$D,'Modelling New'!AF:AF),"")</f>
        <v>0.98</v>
      </c>
      <c r="AN83" s="134"/>
      <c r="AO83" s="137"/>
      <c r="AP83" s="137"/>
      <c r="AQ83" s="137"/>
      <c r="AR83" s="130">
        <f>'Basic Data'!$B$98/1000</f>
        <v>8.0208999999999993</v>
      </c>
    </row>
    <row r="84" spans="1:44" x14ac:dyDescent="0.3">
      <c r="A84" s="129">
        <f t="shared" si="7"/>
        <v>45827</v>
      </c>
      <c r="B84" s="130">
        <f>YEAR(Table13[[#This Row],[Date]])+IF(MONTH(Table13[[#This Row],[Date]])&gt;=4,1,0)</f>
        <v>2026</v>
      </c>
      <c r="C84" s="7">
        <f>YEAR(Table13[[#This Row],[Date]])</f>
        <v>2025</v>
      </c>
      <c r="D84" s="131">
        <f>Table13[[#This Row],[Date]]-DAY(Table13[[#This Row],[Date]])+1</f>
        <v>45809</v>
      </c>
      <c r="E84" s="7">
        <f t="shared" si="4"/>
        <v>30</v>
      </c>
      <c r="F84" s="132">
        <f>IFERROR(_xlfn.XLOOKUP($A84,'Raw Data'!$G:$G,'Raw Data'!$AM:$AM),"")</f>
        <v>12.833333333333332</v>
      </c>
      <c r="G84" s="133">
        <f>IFERROR(_xlfn.XLOOKUP($A84,'Raw Data'!$G:$G,'Raw Data'!$AB:$AB),"")</f>
        <v>0</v>
      </c>
      <c r="H84" s="133"/>
      <c r="I84" s="133">
        <f>IFERROR(_xlfn.XLOOKUP($A84,'Raw Data'!$G:$G,'Raw Data'!$AC:$AC),"")</f>
        <v>4.63</v>
      </c>
      <c r="J84" s="133"/>
      <c r="K84" s="133">
        <f>IFERROR(_xlfn.XLOOKUP($A84,'Raw Data'!$G:$G,'Raw Data'!AD:AD),"")</f>
        <v>0</v>
      </c>
      <c r="L84" s="133">
        <f>IFERROR(_xlfn.XLOOKUP($A84,'Raw Data'!$G:$G,'Raw Data'!AE:AE),"")</f>
        <v>35.83</v>
      </c>
      <c r="M84" s="133">
        <f>IFERROR(_xlfn.XLOOKUP($A84,'Raw Data'!$G:$G,'Raw Data'!AF:AF),"")</f>
        <v>0</v>
      </c>
      <c r="N84" s="133">
        <f>IFERROR(_xlfn.XLOOKUP($A84,'Raw Data'!$G:$G,'Raw Data'!AG:AG),"")</f>
        <v>0</v>
      </c>
      <c r="O84" s="134">
        <f>IFERROR(1-SUMIF('Plant BD'!$H:$H,$A84,'Plant BD'!$AE:$AE)/($AA84+SUMIF('Plant BD'!$H:$H,$A84,'Plant BD'!$AE:$AE)),"")</f>
        <v>1</v>
      </c>
      <c r="P84" s="134"/>
      <c r="Q84" s="135"/>
      <c r="R84" s="134">
        <f>IFERROR(1-SUMIF('Grid BD'!$H:$H,$A84,'Grid BD'!$AD:$AD)/($AA84+SUMIF('Grid BD'!$H:$H,$A84,'Grid BD'!$AD:$AD)),"")</f>
        <v>0.78771030762423022</v>
      </c>
      <c r="T84" s="135"/>
      <c r="U84" s="136">
        <f t="shared" si="5"/>
        <v>0.6731873024920505</v>
      </c>
      <c r="V84" s="136"/>
      <c r="W84" s="137">
        <f t="shared" si="6"/>
        <v>0.12986905043909142</v>
      </c>
      <c r="X84" s="130">
        <f>IFERROR(_xlfn.XLOOKUP($A84,'Raw Data'!$G:$G,'Raw Data'!AI:AI),"")</f>
        <v>25311.100000000002</v>
      </c>
      <c r="Y84" s="130">
        <f>IFERROR(_xlfn.XLOOKUP($A84,'Raw Data'!$G:$G,'Raw Data'!AJ:AJ),"")</f>
        <v>25100.000000005821</v>
      </c>
      <c r="Z84" s="130">
        <f>IFERROR(_xlfn.XLOOKUP($A84,'Raw Data'!$G:$G,'Raw Data'!AK:AK),"")</f>
        <v>100.00000000002274</v>
      </c>
      <c r="AA84" s="130">
        <f>IFERROR(_xlfn.XLOOKUP($A84,'Raw Data'!$G:$G,'Raw Data'!AL:AL),"")</f>
        <v>25000.000000005799</v>
      </c>
      <c r="AB84" s="130">
        <f>IFERROR(_xlfn.XLOOKUP($A84,'Raw Data'!$G:$G,'Raw Data'!H:H),"")</f>
        <v>8.0208999999999993</v>
      </c>
      <c r="AC84" s="76">
        <f>IFERROR(_xlfn.XLOOKUP($D84,'Modelling New'!$D:$D,'Modelling New'!P:P),"")</f>
        <v>4.7600000000000007</v>
      </c>
      <c r="AD84" s="130">
        <f>IFERROR(_xlfn.XLOOKUP($D84,'Modelling New'!$D:$D,'Modelling New'!$T:$T)*1000,"")</f>
        <v>25919.748311299463</v>
      </c>
      <c r="AE84" s="138">
        <f>IFERROR(_xlfn.XLOOKUP($D84,'Modelling New'!$D:$D,'Modelling New'!O:O),"")</f>
        <v>0.67889205394445518</v>
      </c>
      <c r="AF84" s="137">
        <f>IFERROR(_xlfn.XLOOKUP($D84,'Modelling New'!$D:$D,'Modelling New'!W:W),"")</f>
        <v>0.13464692403231696</v>
      </c>
      <c r="AG84" s="137">
        <f>IFERROR(_xlfn.XLOOKUP($D84,'Modelling New'!$D:$D,'Modelling New'!AE:AE),"")</f>
        <v>0.98040000000000005</v>
      </c>
      <c r="AH84" s="156">
        <f>IFERROR(_xlfn.XLOOKUP($D84,'Modelling New'!$D:$D,'Modelling New'!AF:AF),"")</f>
        <v>0.98</v>
      </c>
      <c r="AN84" s="134"/>
      <c r="AO84" s="137"/>
      <c r="AP84" s="137"/>
      <c r="AQ84" s="137"/>
      <c r="AR84" s="130">
        <f>'Basic Data'!$B$98/1000</f>
        <v>8.0208999999999993</v>
      </c>
    </row>
    <row r="85" spans="1:44" x14ac:dyDescent="0.3">
      <c r="A85" s="129">
        <f t="shared" si="7"/>
        <v>45828</v>
      </c>
      <c r="B85" s="130">
        <f>YEAR(Table13[[#This Row],[Date]])+IF(MONTH(Table13[[#This Row],[Date]])&gt;=4,1,0)</f>
        <v>2026</v>
      </c>
      <c r="C85" s="7">
        <f>YEAR(Table13[[#This Row],[Date]])</f>
        <v>2025</v>
      </c>
      <c r="D85" s="131">
        <f>Table13[[#This Row],[Date]]-DAY(Table13[[#This Row],[Date]])+1</f>
        <v>45809</v>
      </c>
      <c r="E85" s="7">
        <f t="shared" si="4"/>
        <v>30</v>
      </c>
      <c r="F85" s="132">
        <f>IFERROR(_xlfn.XLOOKUP($A85,'Raw Data'!$G:$G,'Raw Data'!$AM:$AM),"")</f>
        <v>12.816666666666666</v>
      </c>
      <c r="G85" s="133">
        <f>IFERROR(_xlfn.XLOOKUP($A85,'Raw Data'!$G:$G,'Raw Data'!$AB:$AB),"")</f>
        <v>0</v>
      </c>
      <c r="H85" s="133"/>
      <c r="I85" s="133">
        <f>IFERROR(_xlfn.XLOOKUP($A85,'Raw Data'!$G:$G,'Raw Data'!$AC:$AC),"")</f>
        <v>4.84</v>
      </c>
      <c r="J85" s="133"/>
      <c r="K85" s="133">
        <f>IFERROR(_xlfn.XLOOKUP($A85,'Raw Data'!$G:$G,'Raw Data'!AD:AD),"")</f>
        <v>0</v>
      </c>
      <c r="L85" s="133">
        <f>IFERROR(_xlfn.XLOOKUP($A85,'Raw Data'!$G:$G,'Raw Data'!AE:AE),"")</f>
        <v>36.57</v>
      </c>
      <c r="M85" s="133">
        <f>IFERROR(_xlfn.XLOOKUP($A85,'Raw Data'!$G:$G,'Raw Data'!AF:AF),"")</f>
        <v>0</v>
      </c>
      <c r="N85" s="133">
        <f>IFERROR(_xlfn.XLOOKUP($A85,'Raw Data'!$G:$G,'Raw Data'!AG:AG),"")</f>
        <v>0</v>
      </c>
      <c r="O85" s="134">
        <f>IFERROR(1-SUMIF('Plant BD'!$H:$H,$A85,'Plant BD'!$AE:$AE)/($AA85+SUMIF('Plant BD'!$H:$H,$A85,'Plant BD'!$AE:$AE)),"")</f>
        <v>1</v>
      </c>
      <c r="P85" s="134"/>
      <c r="Q85" s="135"/>
      <c r="R85" s="134">
        <f>IFERROR(1-SUMIF('Grid BD'!$H:$H,$A85,'Grid BD'!$AD:$AD)/($AA85+SUMIF('Grid BD'!$H:$H,$A85,'Grid BD'!$AD:$AD)),"")</f>
        <v>1</v>
      </c>
      <c r="T85" s="135"/>
      <c r="U85" s="136">
        <f t="shared" si="5"/>
        <v>0.80497345313445334</v>
      </c>
      <c r="V85" s="136"/>
      <c r="W85" s="137">
        <f t="shared" si="6"/>
        <v>0.16233631304878141</v>
      </c>
      <c r="X85" s="130">
        <f>IFERROR(_xlfn.XLOOKUP($A85,'Raw Data'!$G:$G,'Raw Data'!AI:AI),"")</f>
        <v>31630.9</v>
      </c>
      <c r="Y85" s="130">
        <f>IFERROR(_xlfn.XLOOKUP($A85,'Raw Data'!$G:$G,'Raw Data'!AJ:AJ),"")</f>
        <v>31349.999999991269</v>
      </c>
      <c r="Z85" s="130">
        <f>IFERROR(_xlfn.XLOOKUP($A85,'Raw Data'!$G:$G,'Raw Data'!AK:AK),"")</f>
        <v>99.999999999965894</v>
      </c>
      <c r="AA85" s="130">
        <f>IFERROR(_xlfn.XLOOKUP($A85,'Raw Data'!$G:$G,'Raw Data'!AL:AL),"")</f>
        <v>31249.999999991302</v>
      </c>
      <c r="AB85" s="130">
        <f>IFERROR(_xlfn.XLOOKUP($A85,'Raw Data'!$G:$G,'Raw Data'!H:H),"")</f>
        <v>8.0208999999999993</v>
      </c>
      <c r="AC85" s="76">
        <f>IFERROR(_xlfn.XLOOKUP($D85,'Modelling New'!$D:$D,'Modelling New'!P:P),"")</f>
        <v>4.7600000000000007</v>
      </c>
      <c r="AD85" s="130">
        <f>IFERROR(_xlfn.XLOOKUP($D85,'Modelling New'!$D:$D,'Modelling New'!$T:$T)*1000,"")</f>
        <v>25919.748311299463</v>
      </c>
      <c r="AE85" s="138">
        <f>IFERROR(_xlfn.XLOOKUP($D85,'Modelling New'!$D:$D,'Modelling New'!O:O),"")</f>
        <v>0.67889205394445518</v>
      </c>
      <c r="AF85" s="137">
        <f>IFERROR(_xlfn.XLOOKUP($D85,'Modelling New'!$D:$D,'Modelling New'!W:W),"")</f>
        <v>0.13464692403231696</v>
      </c>
      <c r="AG85" s="137">
        <f>IFERROR(_xlfn.XLOOKUP($D85,'Modelling New'!$D:$D,'Modelling New'!AE:AE),"")</f>
        <v>0.98040000000000005</v>
      </c>
      <c r="AH85" s="156">
        <f>IFERROR(_xlfn.XLOOKUP($D85,'Modelling New'!$D:$D,'Modelling New'!AF:AF),"")</f>
        <v>0.98</v>
      </c>
      <c r="AN85" s="134"/>
      <c r="AO85" s="137"/>
      <c r="AP85" s="137"/>
      <c r="AQ85" s="137"/>
      <c r="AR85" s="130">
        <f>'Basic Data'!$B$98/1000</f>
        <v>8.0208999999999993</v>
      </c>
    </row>
    <row r="86" spans="1:44" x14ac:dyDescent="0.3">
      <c r="A86" s="129">
        <f t="shared" si="7"/>
        <v>45829</v>
      </c>
      <c r="B86" s="130">
        <f>YEAR(Table13[[#This Row],[Date]])+IF(MONTH(Table13[[#This Row],[Date]])&gt;=4,1,0)</f>
        <v>2026</v>
      </c>
      <c r="C86" s="7">
        <f>YEAR(Table13[[#This Row],[Date]])</f>
        <v>2025</v>
      </c>
      <c r="D86" s="131">
        <f>Table13[[#This Row],[Date]]-DAY(Table13[[#This Row],[Date]])+1</f>
        <v>45809</v>
      </c>
      <c r="E86" s="7">
        <f t="shared" si="4"/>
        <v>30</v>
      </c>
      <c r="F86" s="132">
        <f>IFERROR(_xlfn.XLOOKUP($A86,'Raw Data'!$G:$G,'Raw Data'!$AM:$AM),"")</f>
        <v>12.833333333333332</v>
      </c>
      <c r="G86" s="133">
        <f>IFERROR(_xlfn.XLOOKUP($A86,'Raw Data'!$G:$G,'Raw Data'!$AB:$AB),"")</f>
        <v>0</v>
      </c>
      <c r="H86" s="133"/>
      <c r="I86" s="133">
        <f>IFERROR(_xlfn.XLOOKUP($A86,'Raw Data'!$G:$G,'Raw Data'!$AC:$AC),"")</f>
        <v>5.98</v>
      </c>
      <c r="J86" s="133"/>
      <c r="K86" s="133">
        <f>IFERROR(_xlfn.XLOOKUP($A86,'Raw Data'!$G:$G,'Raw Data'!AD:AD),"")</f>
        <v>0</v>
      </c>
      <c r="L86" s="133">
        <f>IFERROR(_xlfn.XLOOKUP($A86,'Raw Data'!$G:$G,'Raw Data'!AE:AE),"")</f>
        <v>38.619999999999997</v>
      </c>
      <c r="M86" s="133">
        <f>IFERROR(_xlfn.XLOOKUP($A86,'Raw Data'!$G:$G,'Raw Data'!AF:AF),"")</f>
        <v>0</v>
      </c>
      <c r="N86" s="133">
        <f>IFERROR(_xlfn.XLOOKUP($A86,'Raw Data'!$G:$G,'Raw Data'!AG:AG),"")</f>
        <v>0</v>
      </c>
      <c r="O86" s="134">
        <f>IFERROR(1-SUMIF('Plant BD'!$H:$H,$A86,'Plant BD'!$AE:$AE)/($AA86+SUMIF('Plant BD'!$H:$H,$A86,'Plant BD'!$AE:$AE)),"")</f>
        <v>1</v>
      </c>
      <c r="P86" s="134"/>
      <c r="Q86" s="135"/>
      <c r="R86" s="134">
        <f>IFERROR(1-SUMIF('Grid BD'!$H:$H,$A86,'Grid BD'!$AD:$AD)/($AA86+SUMIF('Grid BD'!$H:$H,$A86,'Grid BD'!$AD:$AD)),"")</f>
        <v>1</v>
      </c>
      <c r="T86" s="135"/>
      <c r="U86" s="136">
        <f t="shared" si="5"/>
        <v>0.78599007917907471</v>
      </c>
      <c r="V86" s="136"/>
      <c r="W86" s="137">
        <f t="shared" si="6"/>
        <v>0.19584252806211941</v>
      </c>
      <c r="X86" s="130">
        <f>IFERROR(_xlfn.XLOOKUP($A86,'Raw Data'!$G:$G,'Raw Data'!AI:AI),"")</f>
        <v>38130.100000000006</v>
      </c>
      <c r="Y86" s="130">
        <f>IFERROR(_xlfn.XLOOKUP($A86,'Raw Data'!$G:$G,'Raw Data'!AJ:AJ),"")</f>
        <v>37800.00000000291</v>
      </c>
      <c r="Z86" s="130">
        <f>IFERROR(_xlfn.XLOOKUP($A86,'Raw Data'!$G:$G,'Raw Data'!AK:AK),"")</f>
        <v>100.00000000002274</v>
      </c>
      <c r="AA86" s="130">
        <f>IFERROR(_xlfn.XLOOKUP($A86,'Raw Data'!$G:$G,'Raw Data'!AL:AL),"")</f>
        <v>37700.000000002889</v>
      </c>
      <c r="AB86" s="130">
        <f>IFERROR(_xlfn.XLOOKUP($A86,'Raw Data'!$G:$G,'Raw Data'!H:H),"")</f>
        <v>8.0208999999999993</v>
      </c>
      <c r="AC86" s="76">
        <f>IFERROR(_xlfn.XLOOKUP($D86,'Modelling New'!$D:$D,'Modelling New'!P:P),"")</f>
        <v>4.7600000000000007</v>
      </c>
      <c r="AD86" s="130">
        <f>IFERROR(_xlfn.XLOOKUP($D86,'Modelling New'!$D:$D,'Modelling New'!$T:$T)*1000,"")</f>
        <v>25919.748311299463</v>
      </c>
      <c r="AE86" s="138">
        <f>IFERROR(_xlfn.XLOOKUP($D86,'Modelling New'!$D:$D,'Modelling New'!O:O),"")</f>
        <v>0.67889205394445518</v>
      </c>
      <c r="AF86" s="137">
        <f>IFERROR(_xlfn.XLOOKUP($D86,'Modelling New'!$D:$D,'Modelling New'!W:W),"")</f>
        <v>0.13464692403231696</v>
      </c>
      <c r="AG86" s="137">
        <f>IFERROR(_xlfn.XLOOKUP($D86,'Modelling New'!$D:$D,'Modelling New'!AE:AE),"")</f>
        <v>0.98040000000000005</v>
      </c>
      <c r="AH86" s="156">
        <f>IFERROR(_xlfn.XLOOKUP($D86,'Modelling New'!$D:$D,'Modelling New'!AF:AF),"")</f>
        <v>0.98</v>
      </c>
      <c r="AN86" s="134"/>
      <c r="AO86" s="137"/>
      <c r="AP86" s="137"/>
      <c r="AQ86" s="137"/>
      <c r="AR86" s="130">
        <f>'Basic Data'!$B$98/1000</f>
        <v>8.0208999999999993</v>
      </c>
    </row>
    <row r="87" spans="1:44" x14ac:dyDescent="0.3">
      <c r="A87" s="129">
        <f t="shared" si="7"/>
        <v>45830</v>
      </c>
      <c r="B87" s="130">
        <f>YEAR(Table13[[#This Row],[Date]])+IF(MONTH(Table13[[#This Row],[Date]])&gt;=4,1,0)</f>
        <v>2026</v>
      </c>
      <c r="C87" s="7">
        <f>YEAR(Table13[[#This Row],[Date]])</f>
        <v>2025</v>
      </c>
      <c r="D87" s="131">
        <f>Table13[[#This Row],[Date]]-DAY(Table13[[#This Row],[Date]])+1</f>
        <v>45809</v>
      </c>
      <c r="E87" s="7">
        <f t="shared" si="4"/>
        <v>30</v>
      </c>
      <c r="F87" s="132">
        <f>IFERROR(_xlfn.XLOOKUP($A87,'Raw Data'!$G:$G,'Raw Data'!$AM:$AM),"")</f>
        <v>12.816666666666666</v>
      </c>
      <c r="G87" s="133">
        <f>IFERROR(_xlfn.XLOOKUP($A87,'Raw Data'!$G:$G,'Raw Data'!$AB:$AB),"")</f>
        <v>0</v>
      </c>
      <c r="H87" s="133"/>
      <c r="I87" s="133">
        <f>IFERROR(_xlfn.XLOOKUP($A87,'Raw Data'!$G:$G,'Raw Data'!$AC:$AC),"")</f>
        <v>5.89</v>
      </c>
      <c r="J87" s="133"/>
      <c r="K87" s="133">
        <f>IFERROR(_xlfn.XLOOKUP($A87,'Raw Data'!$G:$G,'Raw Data'!AD:AD),"")</f>
        <v>0</v>
      </c>
      <c r="L87" s="133">
        <f>IFERROR(_xlfn.XLOOKUP($A87,'Raw Data'!$G:$G,'Raw Data'!AE:AE),"")</f>
        <v>38.299999999999997</v>
      </c>
      <c r="M87" s="133">
        <f>IFERROR(_xlfn.XLOOKUP($A87,'Raw Data'!$G:$G,'Raw Data'!AF:AF),"")</f>
        <v>0</v>
      </c>
      <c r="N87" s="133">
        <f>IFERROR(_xlfn.XLOOKUP($A87,'Raw Data'!$G:$G,'Raw Data'!AG:AG),"")</f>
        <v>0</v>
      </c>
      <c r="O87" s="134">
        <f>IFERROR(1-SUMIF('Plant BD'!$H:$H,$A87,'Plant BD'!$AE:$AE)/($AA87+SUMIF('Plant BD'!$H:$H,$A87,'Plant BD'!$AE:$AE)),"")</f>
        <v>1</v>
      </c>
      <c r="P87" s="134"/>
      <c r="Q87" s="135"/>
      <c r="R87" s="134">
        <f>IFERROR(1-SUMIF('Grid BD'!$H:$H,$A87,'Grid BD'!$AD:$AD)/($AA87+SUMIF('Grid BD'!$H:$H,$A87,'Grid BD'!$AD:$AD)),"")</f>
        <v>1</v>
      </c>
      <c r="T87" s="135"/>
      <c r="U87" s="136">
        <f t="shared" si="5"/>
        <v>0.78953326963008119</v>
      </c>
      <c r="V87" s="136"/>
      <c r="W87" s="137">
        <f t="shared" si="6"/>
        <v>0.19376462325504909</v>
      </c>
      <c r="X87" s="130">
        <f>IFERROR(_xlfn.XLOOKUP($A87,'Raw Data'!$G:$G,'Raw Data'!AI:AI),"")</f>
        <v>37736.1</v>
      </c>
      <c r="Y87" s="130">
        <f>IFERROR(_xlfn.XLOOKUP($A87,'Raw Data'!$G:$G,'Raw Data'!AJ:AJ),"")</f>
        <v>37399.999999994179</v>
      </c>
      <c r="Z87" s="130">
        <f>IFERROR(_xlfn.XLOOKUP($A87,'Raw Data'!$G:$G,'Raw Data'!AK:AK),"")</f>
        <v>100.00000000002274</v>
      </c>
      <c r="AA87" s="130">
        <f>IFERROR(_xlfn.XLOOKUP($A87,'Raw Data'!$G:$G,'Raw Data'!AL:AL),"")</f>
        <v>37299.999999994157</v>
      </c>
      <c r="AB87" s="130">
        <f>IFERROR(_xlfn.XLOOKUP($A87,'Raw Data'!$G:$G,'Raw Data'!H:H),"")</f>
        <v>8.0208999999999993</v>
      </c>
      <c r="AC87" s="76">
        <f>IFERROR(_xlfn.XLOOKUP($D87,'Modelling New'!$D:$D,'Modelling New'!P:P),"")</f>
        <v>4.7600000000000007</v>
      </c>
      <c r="AD87" s="130">
        <f>IFERROR(_xlfn.XLOOKUP($D87,'Modelling New'!$D:$D,'Modelling New'!$T:$T)*1000,"")</f>
        <v>25919.748311299463</v>
      </c>
      <c r="AE87" s="138">
        <f>IFERROR(_xlfn.XLOOKUP($D87,'Modelling New'!$D:$D,'Modelling New'!O:O),"")</f>
        <v>0.67889205394445518</v>
      </c>
      <c r="AF87" s="137">
        <f>IFERROR(_xlfn.XLOOKUP($D87,'Modelling New'!$D:$D,'Modelling New'!W:W),"")</f>
        <v>0.13464692403231696</v>
      </c>
      <c r="AG87" s="137">
        <f>IFERROR(_xlfn.XLOOKUP($D87,'Modelling New'!$D:$D,'Modelling New'!AE:AE),"")</f>
        <v>0.98040000000000005</v>
      </c>
      <c r="AH87" s="156">
        <f>IFERROR(_xlfn.XLOOKUP($D87,'Modelling New'!$D:$D,'Modelling New'!AF:AF),"")</f>
        <v>0.98</v>
      </c>
      <c r="AN87" s="134"/>
      <c r="AO87" s="137"/>
      <c r="AP87" s="137"/>
      <c r="AQ87" s="137"/>
      <c r="AR87" s="130">
        <f>'Basic Data'!$B$98/1000</f>
        <v>8.0208999999999993</v>
      </c>
    </row>
    <row r="88" spans="1:44" x14ac:dyDescent="0.3">
      <c r="A88" s="129">
        <f t="shared" si="7"/>
        <v>45831</v>
      </c>
      <c r="B88" s="130">
        <f>YEAR(Table13[[#This Row],[Date]])+IF(MONTH(Table13[[#This Row],[Date]])&gt;=4,1,0)</f>
        <v>2026</v>
      </c>
      <c r="C88" s="7">
        <f>YEAR(Table13[[#This Row],[Date]])</f>
        <v>2025</v>
      </c>
      <c r="D88" s="131">
        <f>Table13[[#This Row],[Date]]-DAY(Table13[[#This Row],[Date]])+1</f>
        <v>45809</v>
      </c>
      <c r="E88" s="7">
        <f t="shared" si="4"/>
        <v>30</v>
      </c>
      <c r="F88" s="132">
        <f>IFERROR(_xlfn.XLOOKUP($A88,'Raw Data'!$G:$G,'Raw Data'!$AM:$AM),"")</f>
        <v>12.75</v>
      </c>
      <c r="G88" s="133">
        <f>IFERROR(_xlfn.XLOOKUP($A88,'Raw Data'!$G:$G,'Raw Data'!$AB:$AB),"")</f>
        <v>0</v>
      </c>
      <c r="H88" s="133"/>
      <c r="I88" s="133">
        <f>IFERROR(_xlfn.XLOOKUP($A88,'Raw Data'!$G:$G,'Raw Data'!$AC:$AC),"")</f>
        <v>5.0599999999999996</v>
      </c>
      <c r="J88" s="133"/>
      <c r="K88" s="133">
        <f>IFERROR(_xlfn.XLOOKUP($A88,'Raw Data'!$G:$G,'Raw Data'!AD:AD),"")</f>
        <v>0</v>
      </c>
      <c r="L88" s="133">
        <f>IFERROR(_xlfn.XLOOKUP($A88,'Raw Data'!$G:$G,'Raw Data'!AE:AE),"")</f>
        <v>36.049999999999997</v>
      </c>
      <c r="M88" s="133">
        <f>IFERROR(_xlfn.XLOOKUP($A88,'Raw Data'!$G:$G,'Raw Data'!AF:AF),"")</f>
        <v>0</v>
      </c>
      <c r="N88" s="133">
        <f>IFERROR(_xlfn.XLOOKUP($A88,'Raw Data'!$G:$G,'Raw Data'!AG:AG),"")</f>
        <v>0</v>
      </c>
      <c r="O88" s="134">
        <f>IFERROR(1-SUMIF('Plant BD'!$H:$H,$A88,'Plant BD'!$AE:$AE)/($AA88+SUMIF('Plant BD'!$H:$H,$A88,'Plant BD'!$AE:$AE)),"")</f>
        <v>1</v>
      </c>
      <c r="P88" s="134"/>
      <c r="Q88" s="135"/>
      <c r="R88" s="134">
        <f>IFERROR(1-SUMIF('Grid BD'!$H:$H,$A88,'Grid BD'!$AD:$AD)/($AA88+SUMIF('Grid BD'!$H:$H,$A88,'Grid BD'!$AD:$AD)),"")</f>
        <v>1</v>
      </c>
      <c r="T88" s="135"/>
      <c r="U88" s="136">
        <f t="shared" si="5"/>
        <v>0.79461379478143634</v>
      </c>
      <c r="V88" s="136"/>
      <c r="W88" s="137">
        <f t="shared" si="6"/>
        <v>0.16753107506641945</v>
      </c>
      <c r="X88" s="130">
        <f>IFERROR(_xlfn.XLOOKUP($A88,'Raw Data'!$G:$G,'Raw Data'!AI:AI),"")</f>
        <v>32646</v>
      </c>
      <c r="Y88" s="130">
        <f>IFERROR(_xlfn.XLOOKUP($A88,'Raw Data'!$G:$G,'Raw Data'!AJ:AJ),"")</f>
        <v>32350.000000005821</v>
      </c>
      <c r="Z88" s="130">
        <f>IFERROR(_xlfn.XLOOKUP($A88,'Raw Data'!$G:$G,'Raw Data'!AK:AK),"")</f>
        <v>99.999999999965894</v>
      </c>
      <c r="AA88" s="130">
        <f>IFERROR(_xlfn.XLOOKUP($A88,'Raw Data'!$G:$G,'Raw Data'!AL:AL),"")</f>
        <v>32250.000000005854</v>
      </c>
      <c r="AB88" s="130">
        <f>IFERROR(_xlfn.XLOOKUP($A88,'Raw Data'!$G:$G,'Raw Data'!H:H),"")</f>
        <v>8.0208999999999993</v>
      </c>
      <c r="AC88" s="76">
        <f>IFERROR(_xlfn.XLOOKUP($D88,'Modelling New'!$D:$D,'Modelling New'!P:P),"")</f>
        <v>4.7600000000000007</v>
      </c>
      <c r="AD88" s="130">
        <f>IFERROR(_xlfn.XLOOKUP($D88,'Modelling New'!$D:$D,'Modelling New'!$T:$T)*1000,"")</f>
        <v>25919.748311299463</v>
      </c>
      <c r="AE88" s="138">
        <f>IFERROR(_xlfn.XLOOKUP($D88,'Modelling New'!$D:$D,'Modelling New'!O:O),"")</f>
        <v>0.67889205394445518</v>
      </c>
      <c r="AF88" s="137">
        <f>IFERROR(_xlfn.XLOOKUP($D88,'Modelling New'!$D:$D,'Modelling New'!W:W),"")</f>
        <v>0.13464692403231696</v>
      </c>
      <c r="AG88" s="137">
        <f>IFERROR(_xlfn.XLOOKUP($D88,'Modelling New'!$D:$D,'Modelling New'!AE:AE),"")</f>
        <v>0.98040000000000005</v>
      </c>
      <c r="AH88" s="156">
        <f>IFERROR(_xlfn.XLOOKUP($D88,'Modelling New'!$D:$D,'Modelling New'!AF:AF),"")</f>
        <v>0.98</v>
      </c>
      <c r="AN88" s="134"/>
      <c r="AO88" s="137"/>
      <c r="AP88" s="137"/>
      <c r="AQ88" s="137"/>
      <c r="AR88" s="130">
        <f>'Basic Data'!$B$98/1000</f>
        <v>8.0208999999999993</v>
      </c>
    </row>
    <row r="89" spans="1:44" x14ac:dyDescent="0.3">
      <c r="A89" s="129">
        <f t="shared" si="7"/>
        <v>45832</v>
      </c>
      <c r="B89" s="130">
        <f>YEAR(Table13[[#This Row],[Date]])+IF(MONTH(Table13[[#This Row],[Date]])&gt;=4,1,0)</f>
        <v>2026</v>
      </c>
      <c r="C89" s="7">
        <f>YEAR(Table13[[#This Row],[Date]])</f>
        <v>2025</v>
      </c>
      <c r="D89" s="131">
        <f>Table13[[#This Row],[Date]]-DAY(Table13[[#This Row],[Date]])+1</f>
        <v>45809</v>
      </c>
      <c r="E89" s="7">
        <f t="shared" si="4"/>
        <v>30</v>
      </c>
      <c r="F89" s="132">
        <f>IFERROR(_xlfn.XLOOKUP($A89,'Raw Data'!$G:$G,'Raw Data'!$AM:$AM),"")</f>
        <v>12.75</v>
      </c>
      <c r="G89" s="133">
        <f>IFERROR(_xlfn.XLOOKUP($A89,'Raw Data'!$G:$G,'Raw Data'!$AB:$AB),"")</f>
        <v>0</v>
      </c>
      <c r="H89" s="133"/>
      <c r="I89" s="133">
        <f>IFERROR(_xlfn.XLOOKUP($A89,'Raw Data'!$G:$G,'Raw Data'!$AC:$AC),"")</f>
        <v>3.22</v>
      </c>
      <c r="J89" s="133"/>
      <c r="K89" s="133">
        <f>IFERROR(_xlfn.XLOOKUP($A89,'Raw Data'!$G:$G,'Raw Data'!AD:AD),"")</f>
        <v>0</v>
      </c>
      <c r="L89" s="133">
        <f>IFERROR(_xlfn.XLOOKUP($A89,'Raw Data'!$G:$G,'Raw Data'!AE:AE),"")</f>
        <v>31.12</v>
      </c>
      <c r="M89" s="133">
        <f>IFERROR(_xlfn.XLOOKUP($A89,'Raw Data'!$G:$G,'Raw Data'!AF:AF),"")</f>
        <v>0</v>
      </c>
      <c r="N89" s="133">
        <f>IFERROR(_xlfn.XLOOKUP($A89,'Raw Data'!$G:$G,'Raw Data'!AG:AG),"")</f>
        <v>0</v>
      </c>
      <c r="O89" s="134">
        <f>IFERROR(1-SUMIF('Plant BD'!$H:$H,$A89,'Plant BD'!$AE:$AE)/($AA89+SUMIF('Plant BD'!$H:$H,$A89,'Plant BD'!$AE:$AE)),"")</f>
        <v>1</v>
      </c>
      <c r="P89" s="134"/>
      <c r="Q89" s="135"/>
      <c r="R89" s="134">
        <f>IFERROR(1-SUMIF('Grid BD'!$H:$H,$A89,'Grid BD'!$AD:$AD)/($AA89+SUMIF('Grid BD'!$H:$H,$A89,'Grid BD'!$AD:$AD)),"")</f>
        <v>0.69762857847167226</v>
      </c>
      <c r="T89" s="135"/>
      <c r="U89" s="136">
        <f t="shared" si="5"/>
        <v>0.6233714421073806</v>
      </c>
      <c r="V89" s="136"/>
      <c r="W89" s="137">
        <f t="shared" si="6"/>
        <v>8.3635668482740233E-2</v>
      </c>
      <c r="X89" s="130">
        <f>IFERROR(_xlfn.XLOOKUP($A89,'Raw Data'!$G:$G,'Raw Data'!AI:AI),"")</f>
        <v>16354.900000000001</v>
      </c>
      <c r="Y89" s="130">
        <f>IFERROR(_xlfn.XLOOKUP($A89,'Raw Data'!$G:$G,'Raw Data'!AJ:AJ),"")</f>
        <v>16199.99999999709</v>
      </c>
      <c r="Z89" s="130">
        <f>IFERROR(_xlfn.XLOOKUP($A89,'Raw Data'!$G:$G,'Raw Data'!AK:AK),"")</f>
        <v>100.00000000002274</v>
      </c>
      <c r="AA89" s="130">
        <f>IFERROR(_xlfn.XLOOKUP($A89,'Raw Data'!$G:$G,'Raw Data'!AL:AL),"")</f>
        <v>16099.999999997068</v>
      </c>
      <c r="AB89" s="130">
        <f>IFERROR(_xlfn.XLOOKUP($A89,'Raw Data'!$G:$G,'Raw Data'!H:H),"")</f>
        <v>8.0208999999999993</v>
      </c>
      <c r="AC89" s="76">
        <f>IFERROR(_xlfn.XLOOKUP($D89,'Modelling New'!$D:$D,'Modelling New'!P:P),"")</f>
        <v>4.7600000000000007</v>
      </c>
      <c r="AD89" s="130">
        <f>IFERROR(_xlfn.XLOOKUP($D89,'Modelling New'!$D:$D,'Modelling New'!$T:$T)*1000,"")</f>
        <v>25919.748311299463</v>
      </c>
      <c r="AE89" s="138">
        <f>IFERROR(_xlfn.XLOOKUP($D89,'Modelling New'!$D:$D,'Modelling New'!O:O),"")</f>
        <v>0.67889205394445518</v>
      </c>
      <c r="AF89" s="137">
        <f>IFERROR(_xlfn.XLOOKUP($D89,'Modelling New'!$D:$D,'Modelling New'!W:W),"")</f>
        <v>0.13464692403231696</v>
      </c>
      <c r="AG89" s="137">
        <f>IFERROR(_xlfn.XLOOKUP($D89,'Modelling New'!$D:$D,'Modelling New'!AE:AE),"")</f>
        <v>0.98040000000000005</v>
      </c>
      <c r="AH89" s="156">
        <f>IFERROR(_xlfn.XLOOKUP($D89,'Modelling New'!$D:$D,'Modelling New'!AF:AF),"")</f>
        <v>0.98</v>
      </c>
      <c r="AN89" s="134"/>
      <c r="AO89" s="137"/>
      <c r="AP89" s="137"/>
      <c r="AQ89" s="137"/>
      <c r="AR89" s="130">
        <f>'Basic Data'!$B$98/1000</f>
        <v>8.0208999999999993</v>
      </c>
    </row>
    <row r="90" spans="1:44" x14ac:dyDescent="0.3">
      <c r="A90" s="129">
        <f t="shared" si="7"/>
        <v>45833</v>
      </c>
      <c r="B90" s="130">
        <f>YEAR(Table13[[#This Row],[Date]])+IF(MONTH(Table13[[#This Row],[Date]])&gt;=4,1,0)</f>
        <v>2026</v>
      </c>
      <c r="C90" s="7">
        <f>YEAR(Table13[[#This Row],[Date]])</f>
        <v>2025</v>
      </c>
      <c r="D90" s="131">
        <f>Table13[[#This Row],[Date]]-DAY(Table13[[#This Row],[Date]])+1</f>
        <v>45809</v>
      </c>
      <c r="E90" s="7">
        <f t="shared" si="4"/>
        <v>30</v>
      </c>
      <c r="F90" s="132">
        <f>IFERROR(_xlfn.XLOOKUP($A90,'Raw Data'!$G:$G,'Raw Data'!$AM:$AM),"")</f>
        <v>12.600000000000001</v>
      </c>
      <c r="G90" s="133">
        <f>IFERROR(_xlfn.XLOOKUP($A90,'Raw Data'!$G:$G,'Raw Data'!$AB:$AB),"")</f>
        <v>0</v>
      </c>
      <c r="H90" s="133"/>
      <c r="I90" s="133">
        <f>IFERROR(_xlfn.XLOOKUP($A90,'Raw Data'!$G:$G,'Raw Data'!$AC:$AC),"")</f>
        <v>4.18</v>
      </c>
      <c r="J90" s="133"/>
      <c r="K90" s="133">
        <f>IFERROR(_xlfn.XLOOKUP($A90,'Raw Data'!$G:$G,'Raw Data'!AD:AD),"")</f>
        <v>0</v>
      </c>
      <c r="L90" s="133">
        <f>IFERROR(_xlfn.XLOOKUP($A90,'Raw Data'!$G:$G,'Raw Data'!AE:AE),"")</f>
        <v>34.04</v>
      </c>
      <c r="M90" s="133">
        <f>IFERROR(_xlfn.XLOOKUP($A90,'Raw Data'!$G:$G,'Raw Data'!AF:AF),"")</f>
        <v>0</v>
      </c>
      <c r="N90" s="133">
        <f>IFERROR(_xlfn.XLOOKUP($A90,'Raw Data'!$G:$G,'Raw Data'!AG:AG),"")</f>
        <v>0</v>
      </c>
      <c r="O90" s="134">
        <f>IFERROR(1-SUMIF('Plant BD'!$H:$H,$A90,'Plant BD'!$AE:$AE)/($AA90+SUMIF('Plant BD'!$H:$H,$A90,'Plant BD'!$AE:$AE)),"")</f>
        <v>1</v>
      </c>
      <c r="P90" s="134"/>
      <c r="Q90" s="135"/>
      <c r="R90" s="134">
        <f>IFERROR(1-SUMIF('Grid BD'!$H:$H,$A90,'Grid BD'!$AD:$AD)/($AA90+SUMIF('Grid BD'!$H:$H,$A90,'Grid BD'!$AD:$AD)),"")</f>
        <v>0.91905629713589165</v>
      </c>
      <c r="T90" s="135"/>
      <c r="U90" s="136">
        <f t="shared" si="5"/>
        <v>0.76057281214089723</v>
      </c>
      <c r="V90" s="136"/>
      <c r="W90" s="137">
        <f t="shared" si="6"/>
        <v>0.13246643144787293</v>
      </c>
      <c r="X90" s="130">
        <f>IFERROR(_xlfn.XLOOKUP($A90,'Raw Data'!$G:$G,'Raw Data'!AI:AI),"")</f>
        <v>25813.599999999999</v>
      </c>
      <c r="Y90" s="130">
        <f>IFERROR(_xlfn.XLOOKUP($A90,'Raw Data'!$G:$G,'Raw Data'!AJ:AJ),"")</f>
        <v>25600.000000005821</v>
      </c>
      <c r="Z90" s="130">
        <f>IFERROR(_xlfn.XLOOKUP($A90,'Raw Data'!$G:$G,'Raw Data'!AK:AK),"")</f>
        <v>99.999999999965894</v>
      </c>
      <c r="AA90" s="130">
        <f>IFERROR(_xlfn.XLOOKUP($A90,'Raw Data'!$G:$G,'Raw Data'!AL:AL),"")</f>
        <v>25500.000000005854</v>
      </c>
      <c r="AB90" s="130">
        <f>IFERROR(_xlfn.XLOOKUP($A90,'Raw Data'!$G:$G,'Raw Data'!H:H),"")</f>
        <v>8.0208999999999993</v>
      </c>
      <c r="AC90" s="76">
        <f>IFERROR(_xlfn.XLOOKUP($D90,'Modelling New'!$D:$D,'Modelling New'!P:P),"")</f>
        <v>4.7600000000000007</v>
      </c>
      <c r="AD90" s="130">
        <f>IFERROR(_xlfn.XLOOKUP($D90,'Modelling New'!$D:$D,'Modelling New'!$T:$T)*1000,"")</f>
        <v>25919.748311299463</v>
      </c>
      <c r="AE90" s="138">
        <f>IFERROR(_xlfn.XLOOKUP($D90,'Modelling New'!$D:$D,'Modelling New'!O:O),"")</f>
        <v>0.67889205394445518</v>
      </c>
      <c r="AF90" s="137">
        <f>IFERROR(_xlfn.XLOOKUP($D90,'Modelling New'!$D:$D,'Modelling New'!W:W),"")</f>
        <v>0.13464692403231696</v>
      </c>
      <c r="AG90" s="137">
        <f>IFERROR(_xlfn.XLOOKUP($D90,'Modelling New'!$D:$D,'Modelling New'!AE:AE),"")</f>
        <v>0.98040000000000005</v>
      </c>
      <c r="AH90" s="156">
        <f>IFERROR(_xlfn.XLOOKUP($D90,'Modelling New'!$D:$D,'Modelling New'!AF:AF),"")</f>
        <v>0.98</v>
      </c>
      <c r="AN90" s="134"/>
      <c r="AO90" s="137"/>
      <c r="AP90" s="137"/>
      <c r="AQ90" s="137"/>
      <c r="AR90" s="130">
        <f>'Basic Data'!$B$98/1000</f>
        <v>8.0208999999999993</v>
      </c>
    </row>
    <row r="91" spans="1:44" x14ac:dyDescent="0.3">
      <c r="A91" s="129">
        <f t="shared" si="7"/>
        <v>45834</v>
      </c>
      <c r="B91" s="130">
        <f>YEAR(Table13[[#This Row],[Date]])+IF(MONTH(Table13[[#This Row],[Date]])&gt;=4,1,0)</f>
        <v>2026</v>
      </c>
      <c r="C91" s="7">
        <f>YEAR(Table13[[#This Row],[Date]])</f>
        <v>2025</v>
      </c>
      <c r="D91" s="131">
        <f>Table13[[#This Row],[Date]]-DAY(Table13[[#This Row],[Date]])+1</f>
        <v>45809</v>
      </c>
      <c r="E91" s="7">
        <f t="shared" si="4"/>
        <v>30</v>
      </c>
      <c r="F91" s="132">
        <f>IFERROR(_xlfn.XLOOKUP($A91,'Raw Data'!$G:$G,'Raw Data'!$AM:$AM),"")</f>
        <v>12.633333333333333</v>
      </c>
      <c r="G91" s="133">
        <f>IFERROR(_xlfn.XLOOKUP($A91,'Raw Data'!$G:$G,'Raw Data'!$AB:$AB),"")</f>
        <v>0</v>
      </c>
      <c r="H91" s="133"/>
      <c r="I91" s="133">
        <f>IFERROR(_xlfn.XLOOKUP($A91,'Raw Data'!$G:$G,'Raw Data'!$AC:$AC),"")</f>
        <v>3.64</v>
      </c>
      <c r="J91" s="133"/>
      <c r="K91" s="133">
        <f>IFERROR(_xlfn.XLOOKUP($A91,'Raw Data'!$G:$G,'Raw Data'!AD:AD),"")</f>
        <v>0</v>
      </c>
      <c r="L91" s="133">
        <f>IFERROR(_xlfn.XLOOKUP($A91,'Raw Data'!$G:$G,'Raw Data'!AE:AE),"")</f>
        <v>33.06</v>
      </c>
      <c r="M91" s="133">
        <f>IFERROR(_xlfn.XLOOKUP($A91,'Raw Data'!$G:$G,'Raw Data'!AF:AF),"")</f>
        <v>0</v>
      </c>
      <c r="N91" s="133">
        <f>IFERROR(_xlfn.XLOOKUP($A91,'Raw Data'!$G:$G,'Raw Data'!AG:AG),"")</f>
        <v>0</v>
      </c>
      <c r="O91" s="134">
        <f>IFERROR(1-SUMIF('Plant BD'!$H:$H,$A91,'Plant BD'!$AE:$AE)/($AA91+SUMIF('Plant BD'!$H:$H,$A91,'Plant BD'!$AE:$AE)),"")</f>
        <v>1</v>
      </c>
      <c r="P91" s="134"/>
      <c r="Q91" s="135"/>
      <c r="R91" s="134">
        <f>IFERROR(1-SUMIF('Grid BD'!$H:$H,$A91,'Grid BD'!$AD:$AD)/($AA91+SUMIF('Grid BD'!$H:$H,$A91,'Grid BD'!$AD:$AD)),"")</f>
        <v>1</v>
      </c>
      <c r="T91" s="135"/>
      <c r="U91" s="136">
        <f t="shared" si="5"/>
        <v>0.82887851093423959</v>
      </c>
      <c r="V91" s="136"/>
      <c r="W91" s="137">
        <f t="shared" si="6"/>
        <v>0.12571324082502633</v>
      </c>
      <c r="X91" s="130">
        <f>IFERROR(_xlfn.XLOOKUP($A91,'Raw Data'!$G:$G,'Raw Data'!AI:AI),"")</f>
        <v>24501.9</v>
      </c>
      <c r="Y91" s="130">
        <f>IFERROR(_xlfn.XLOOKUP($A91,'Raw Data'!$G:$G,'Raw Data'!AJ:AJ),"")</f>
        <v>24300.00000000291</v>
      </c>
      <c r="Z91" s="130">
        <f>IFERROR(_xlfn.XLOOKUP($A91,'Raw Data'!$G:$G,'Raw Data'!AK:AK),"")</f>
        <v>100.00000000002274</v>
      </c>
      <c r="AA91" s="130">
        <f>IFERROR(_xlfn.XLOOKUP($A91,'Raw Data'!$G:$G,'Raw Data'!AL:AL),"")</f>
        <v>24200.000000002889</v>
      </c>
      <c r="AB91" s="130">
        <f>IFERROR(_xlfn.XLOOKUP($A91,'Raw Data'!$G:$G,'Raw Data'!H:H),"")</f>
        <v>8.0208999999999993</v>
      </c>
      <c r="AC91" s="76">
        <f>IFERROR(_xlfn.XLOOKUP($D91,'Modelling New'!$D:$D,'Modelling New'!P:P),"")</f>
        <v>4.7600000000000007</v>
      </c>
      <c r="AD91" s="130">
        <f>IFERROR(_xlfn.XLOOKUP($D91,'Modelling New'!$D:$D,'Modelling New'!$T:$T)*1000,"")</f>
        <v>25919.748311299463</v>
      </c>
      <c r="AE91" s="138">
        <f>IFERROR(_xlfn.XLOOKUP($D91,'Modelling New'!$D:$D,'Modelling New'!O:O),"")</f>
        <v>0.67889205394445518</v>
      </c>
      <c r="AF91" s="137">
        <f>IFERROR(_xlfn.XLOOKUP($D91,'Modelling New'!$D:$D,'Modelling New'!W:W),"")</f>
        <v>0.13464692403231696</v>
      </c>
      <c r="AG91" s="137">
        <f>IFERROR(_xlfn.XLOOKUP($D91,'Modelling New'!$D:$D,'Modelling New'!AE:AE),"")</f>
        <v>0.98040000000000005</v>
      </c>
      <c r="AH91" s="156">
        <f>IFERROR(_xlfn.XLOOKUP($D91,'Modelling New'!$D:$D,'Modelling New'!AF:AF),"")</f>
        <v>0.98</v>
      </c>
      <c r="AN91" s="134"/>
      <c r="AO91" s="137"/>
      <c r="AP91" s="137"/>
      <c r="AQ91" s="137"/>
      <c r="AR91" s="130">
        <f>'Basic Data'!$B$98/1000</f>
        <v>8.0208999999999993</v>
      </c>
    </row>
    <row r="92" spans="1:44" x14ac:dyDescent="0.3">
      <c r="A92" s="129">
        <f t="shared" si="7"/>
        <v>45835</v>
      </c>
      <c r="B92" s="130">
        <f>YEAR(Table13[[#This Row],[Date]])+IF(MONTH(Table13[[#This Row],[Date]])&gt;=4,1,0)</f>
        <v>2026</v>
      </c>
      <c r="C92" s="7">
        <f>YEAR(Table13[[#This Row],[Date]])</f>
        <v>2025</v>
      </c>
      <c r="D92" s="131">
        <f>Table13[[#This Row],[Date]]-DAY(Table13[[#This Row],[Date]])+1</f>
        <v>45809</v>
      </c>
      <c r="E92" s="7">
        <f t="shared" si="4"/>
        <v>30</v>
      </c>
      <c r="F92" s="132">
        <f>IFERROR(_xlfn.XLOOKUP($A92,'Raw Data'!$G:$G,'Raw Data'!$AM:$AM),"")</f>
        <v>12.966666666666665</v>
      </c>
      <c r="G92" s="133">
        <f>IFERROR(_xlfn.XLOOKUP($A92,'Raw Data'!$G:$G,'Raw Data'!$AB:$AB),"")</f>
        <v>0</v>
      </c>
      <c r="H92" s="133"/>
      <c r="I92" s="133">
        <f>IFERROR(_xlfn.XLOOKUP($A92,'Raw Data'!$G:$G,'Raw Data'!$AC:$AC),"")</f>
        <v>5.82</v>
      </c>
      <c r="J92" s="133"/>
      <c r="K92" s="133">
        <f>IFERROR(_xlfn.XLOOKUP($A92,'Raw Data'!$G:$G,'Raw Data'!AD:AD),"")</f>
        <v>0</v>
      </c>
      <c r="L92" s="133">
        <f>IFERROR(_xlfn.XLOOKUP($A92,'Raw Data'!$G:$G,'Raw Data'!AE:AE),"")</f>
        <v>36.89</v>
      </c>
      <c r="M92" s="133">
        <f>IFERROR(_xlfn.XLOOKUP($A92,'Raw Data'!$G:$G,'Raw Data'!AF:AF),"")</f>
        <v>0</v>
      </c>
      <c r="N92" s="133">
        <f>IFERROR(_xlfn.XLOOKUP($A92,'Raw Data'!$G:$G,'Raw Data'!AG:AG),"")</f>
        <v>0</v>
      </c>
      <c r="O92" s="134">
        <f>IFERROR(1-SUMIF('Plant BD'!$H:$H,$A92,'Plant BD'!$AE:$AE)/($AA92+SUMIF('Plant BD'!$H:$H,$A92,'Plant BD'!$AE:$AE)),"")</f>
        <v>1</v>
      </c>
      <c r="P92" s="134"/>
      <c r="Q92" s="135"/>
      <c r="R92" s="134">
        <f>IFERROR(1-SUMIF('Grid BD'!$H:$H,$A92,'Grid BD'!$AD:$AD)/($AA92+SUMIF('Grid BD'!$H:$H,$A92,'Grid BD'!$AD:$AD)),"")</f>
        <v>1</v>
      </c>
      <c r="T92" s="135"/>
      <c r="U92" s="136">
        <f t="shared" si="5"/>
        <v>0.77653659025399346</v>
      </c>
      <c r="V92" s="136"/>
      <c r="W92" s="137">
        <f t="shared" si="6"/>
        <v>0.1883101231365934</v>
      </c>
      <c r="X92" s="130">
        <f>IFERROR(_xlfn.XLOOKUP($A92,'Raw Data'!$G:$G,'Raw Data'!AI:AI),"")</f>
        <v>36684.1</v>
      </c>
      <c r="Y92" s="130">
        <f>IFERROR(_xlfn.XLOOKUP($A92,'Raw Data'!$G:$G,'Raw Data'!AJ:AJ),"")</f>
        <v>36349.999999991269</v>
      </c>
      <c r="Z92" s="130">
        <f>IFERROR(_xlfn.XLOOKUP($A92,'Raw Data'!$G:$G,'Raw Data'!AK:AK),"")</f>
        <v>100.00000000002274</v>
      </c>
      <c r="AA92" s="130">
        <f>IFERROR(_xlfn.XLOOKUP($A92,'Raw Data'!$G:$G,'Raw Data'!AL:AL),"")</f>
        <v>36249.999999991247</v>
      </c>
      <c r="AB92" s="130">
        <f>IFERROR(_xlfn.XLOOKUP($A92,'Raw Data'!$G:$G,'Raw Data'!H:H),"")</f>
        <v>8.0208999999999993</v>
      </c>
      <c r="AC92" s="76">
        <f>IFERROR(_xlfn.XLOOKUP($D92,'Modelling New'!$D:$D,'Modelling New'!P:P),"")</f>
        <v>4.7600000000000007</v>
      </c>
      <c r="AD92" s="130">
        <f>IFERROR(_xlfn.XLOOKUP($D92,'Modelling New'!$D:$D,'Modelling New'!$T:$T)*1000,"")</f>
        <v>25919.748311299463</v>
      </c>
      <c r="AE92" s="138">
        <f>IFERROR(_xlfn.XLOOKUP($D92,'Modelling New'!$D:$D,'Modelling New'!O:O),"")</f>
        <v>0.67889205394445518</v>
      </c>
      <c r="AF92" s="137">
        <f>IFERROR(_xlfn.XLOOKUP($D92,'Modelling New'!$D:$D,'Modelling New'!W:W),"")</f>
        <v>0.13464692403231696</v>
      </c>
      <c r="AG92" s="137">
        <f>IFERROR(_xlfn.XLOOKUP($D92,'Modelling New'!$D:$D,'Modelling New'!AE:AE),"")</f>
        <v>0.98040000000000005</v>
      </c>
      <c r="AH92" s="156">
        <f>IFERROR(_xlfn.XLOOKUP($D92,'Modelling New'!$D:$D,'Modelling New'!AF:AF),"")</f>
        <v>0.98</v>
      </c>
      <c r="AN92" s="134"/>
      <c r="AO92" s="137"/>
      <c r="AP92" s="137"/>
      <c r="AQ92" s="137"/>
      <c r="AR92" s="130">
        <f>'Basic Data'!$B$98/1000</f>
        <v>8.0208999999999993</v>
      </c>
    </row>
    <row r="93" spans="1:44" x14ac:dyDescent="0.3">
      <c r="A93" s="129">
        <f t="shared" si="7"/>
        <v>45836</v>
      </c>
      <c r="B93" s="130">
        <f>YEAR(Table13[[#This Row],[Date]])+IF(MONTH(Table13[[#This Row],[Date]])&gt;=4,1,0)</f>
        <v>2026</v>
      </c>
      <c r="C93" s="7">
        <f>YEAR(Table13[[#This Row],[Date]])</f>
        <v>2025</v>
      </c>
      <c r="D93" s="131">
        <f>Table13[[#This Row],[Date]]-DAY(Table13[[#This Row],[Date]])+1</f>
        <v>45809</v>
      </c>
      <c r="E93" s="7">
        <f t="shared" si="4"/>
        <v>30</v>
      </c>
      <c r="F93" s="132">
        <f>IFERROR(_xlfn.XLOOKUP($A93,'Raw Data'!$G:$G,'Raw Data'!$AM:$AM),"")</f>
        <v>12.85</v>
      </c>
      <c r="G93" s="133">
        <f>IFERROR(_xlfn.XLOOKUP($A93,'Raw Data'!$G:$G,'Raw Data'!$AB:$AB),"")</f>
        <v>0</v>
      </c>
      <c r="H93" s="133"/>
      <c r="I93" s="133">
        <f>IFERROR(_xlfn.XLOOKUP($A93,'Raw Data'!$G:$G,'Raw Data'!$AC:$AC),"")</f>
        <v>5.24</v>
      </c>
      <c r="J93" s="133"/>
      <c r="K93" s="133">
        <f>IFERROR(_xlfn.XLOOKUP($A93,'Raw Data'!$G:$G,'Raw Data'!AD:AD),"")</f>
        <v>0</v>
      </c>
      <c r="L93" s="133">
        <f>IFERROR(_xlfn.XLOOKUP($A93,'Raw Data'!$G:$G,'Raw Data'!AE:AE),"")</f>
        <v>36.97</v>
      </c>
      <c r="M93" s="133">
        <f>IFERROR(_xlfn.XLOOKUP($A93,'Raw Data'!$G:$G,'Raw Data'!AF:AF),"")</f>
        <v>0</v>
      </c>
      <c r="N93" s="133">
        <f>IFERROR(_xlfn.XLOOKUP($A93,'Raw Data'!$G:$G,'Raw Data'!AG:AG),"")</f>
        <v>0</v>
      </c>
      <c r="O93" s="134">
        <f>IFERROR(1-SUMIF('Plant BD'!$H:$H,$A93,'Plant BD'!$AE:$AE)/($AA93+SUMIF('Plant BD'!$H:$H,$A93,'Plant BD'!$AE:$AE)),"")</f>
        <v>1</v>
      </c>
      <c r="P93" s="134"/>
      <c r="Q93" s="135"/>
      <c r="R93" s="134">
        <f>IFERROR(1-SUMIF('Grid BD'!$H:$H,$A93,'Grid BD'!$AD:$AD)/($AA93+SUMIF('Grid BD'!$H:$H,$A93,'Grid BD'!$AD:$AD)),"")</f>
        <v>0.9859205282521244</v>
      </c>
      <c r="T93" s="135"/>
      <c r="U93" s="136">
        <f t="shared" si="5"/>
        <v>0.80181746561161804</v>
      </c>
      <c r="V93" s="136"/>
      <c r="W93" s="137">
        <f t="shared" si="6"/>
        <v>0.17506347999186991</v>
      </c>
      <c r="X93" s="130">
        <f>IFERROR(_xlfn.XLOOKUP($A93,'Raw Data'!$G:$G,'Raw Data'!AI:AI),"")</f>
        <v>34105.700000000004</v>
      </c>
      <c r="Y93" s="130">
        <f>IFERROR(_xlfn.XLOOKUP($A93,'Raw Data'!$G:$G,'Raw Data'!AJ:AJ),"")</f>
        <v>33800.00000000291</v>
      </c>
      <c r="Z93" s="130">
        <f>IFERROR(_xlfn.XLOOKUP($A93,'Raw Data'!$G:$G,'Raw Data'!AK:AK),"")</f>
        <v>99.999999999965894</v>
      </c>
      <c r="AA93" s="130">
        <f>IFERROR(_xlfn.XLOOKUP($A93,'Raw Data'!$G:$G,'Raw Data'!AL:AL),"")</f>
        <v>33700.000000002947</v>
      </c>
      <c r="AB93" s="130">
        <f>IFERROR(_xlfn.XLOOKUP($A93,'Raw Data'!$G:$G,'Raw Data'!H:H),"")</f>
        <v>8.0208999999999993</v>
      </c>
      <c r="AC93" s="76">
        <f>IFERROR(_xlfn.XLOOKUP($D93,'Modelling New'!$D:$D,'Modelling New'!P:P),"")</f>
        <v>4.7600000000000007</v>
      </c>
      <c r="AD93" s="130">
        <f>IFERROR(_xlfn.XLOOKUP($D93,'Modelling New'!$D:$D,'Modelling New'!$T:$T)*1000,"")</f>
        <v>25919.748311299463</v>
      </c>
      <c r="AE93" s="138">
        <f>IFERROR(_xlfn.XLOOKUP($D93,'Modelling New'!$D:$D,'Modelling New'!O:O),"")</f>
        <v>0.67889205394445518</v>
      </c>
      <c r="AF93" s="137">
        <f>IFERROR(_xlfn.XLOOKUP($D93,'Modelling New'!$D:$D,'Modelling New'!W:W),"")</f>
        <v>0.13464692403231696</v>
      </c>
      <c r="AG93" s="137">
        <f>IFERROR(_xlfn.XLOOKUP($D93,'Modelling New'!$D:$D,'Modelling New'!AE:AE),"")</f>
        <v>0.98040000000000005</v>
      </c>
      <c r="AH93" s="156">
        <f>IFERROR(_xlfn.XLOOKUP($D93,'Modelling New'!$D:$D,'Modelling New'!AF:AF),"")</f>
        <v>0.98</v>
      </c>
      <c r="AN93" s="134"/>
      <c r="AO93" s="137"/>
      <c r="AP93" s="137"/>
      <c r="AQ93" s="137"/>
      <c r="AR93" s="130">
        <f>'Basic Data'!$B$98/1000</f>
        <v>8.0208999999999993</v>
      </c>
    </row>
    <row r="94" spans="1:44" x14ac:dyDescent="0.3">
      <c r="A94" s="129">
        <f t="shared" si="7"/>
        <v>45837</v>
      </c>
      <c r="B94" s="130">
        <f>YEAR(Table13[[#This Row],[Date]])+IF(MONTH(Table13[[#This Row],[Date]])&gt;=4,1,0)</f>
        <v>2026</v>
      </c>
      <c r="C94" s="7">
        <f>YEAR(Table13[[#This Row],[Date]])</f>
        <v>2025</v>
      </c>
      <c r="D94" s="131">
        <f>Table13[[#This Row],[Date]]-DAY(Table13[[#This Row],[Date]])+1</f>
        <v>45809</v>
      </c>
      <c r="E94" s="7">
        <f t="shared" si="4"/>
        <v>30</v>
      </c>
      <c r="F94" s="132">
        <f>IFERROR(_xlfn.XLOOKUP($A94,'Raw Data'!$G:$G,'Raw Data'!$AM:$AM),"")</f>
        <v>12.733333333333334</v>
      </c>
      <c r="G94" s="133">
        <f>IFERROR(_xlfn.XLOOKUP($A94,'Raw Data'!$G:$G,'Raw Data'!$AB:$AB),"")</f>
        <v>0</v>
      </c>
      <c r="H94" s="133"/>
      <c r="I94" s="133">
        <f>IFERROR(_xlfn.XLOOKUP($A94,'Raw Data'!$G:$G,'Raw Data'!$AC:$AC),"")</f>
        <v>3.64</v>
      </c>
      <c r="J94" s="133"/>
      <c r="K94" s="133">
        <f>IFERROR(_xlfn.XLOOKUP($A94,'Raw Data'!$G:$G,'Raw Data'!AD:AD),"")</f>
        <v>0</v>
      </c>
      <c r="L94" s="133">
        <f>IFERROR(_xlfn.XLOOKUP($A94,'Raw Data'!$G:$G,'Raw Data'!AE:AE),"")</f>
        <v>33.06</v>
      </c>
      <c r="M94" s="133">
        <f>IFERROR(_xlfn.XLOOKUP($A94,'Raw Data'!$G:$G,'Raw Data'!AF:AF),"")</f>
        <v>0</v>
      </c>
      <c r="N94" s="133">
        <f>IFERROR(_xlfn.XLOOKUP($A94,'Raw Data'!$G:$G,'Raw Data'!AG:AG),"")</f>
        <v>0</v>
      </c>
      <c r="O94" s="134">
        <f>IFERROR(1-SUMIF('Plant BD'!$H:$H,$A94,'Plant BD'!$AE:$AE)/($AA94+SUMIF('Plant BD'!$H:$H,$A94,'Plant BD'!$AE:$AE)),"")</f>
        <v>1</v>
      </c>
      <c r="P94" s="134"/>
      <c r="Q94" s="135"/>
      <c r="R94" s="134">
        <f>IFERROR(1-SUMIF('Grid BD'!$H:$H,$A94,'Grid BD'!$AD:$AD)/($AA94+SUMIF('Grid BD'!$H:$H,$A94,'Grid BD'!$AD:$AD)),"")</f>
        <v>1</v>
      </c>
      <c r="T94" s="135"/>
      <c r="U94" s="136">
        <f t="shared" si="5"/>
        <v>0.82202827530678435</v>
      </c>
      <c r="V94" s="136"/>
      <c r="W94" s="137">
        <f t="shared" si="6"/>
        <v>0.12467428842152896</v>
      </c>
      <c r="X94" s="130">
        <f>IFERROR(_xlfn.XLOOKUP($A94,'Raw Data'!$G:$G,'Raw Data'!AI:AI),"")</f>
        <v>24311.800000000003</v>
      </c>
      <c r="Y94" s="130">
        <f>IFERROR(_xlfn.XLOOKUP($A94,'Raw Data'!$G:$G,'Raw Data'!AJ:AJ),"")</f>
        <v>24100.000000005821</v>
      </c>
      <c r="Z94" s="130">
        <f>IFERROR(_xlfn.XLOOKUP($A94,'Raw Data'!$G:$G,'Raw Data'!AK:AK),"")</f>
        <v>100.00000000002274</v>
      </c>
      <c r="AA94" s="130">
        <f>IFERROR(_xlfn.XLOOKUP($A94,'Raw Data'!$G:$G,'Raw Data'!AL:AL),"")</f>
        <v>24000.000000005799</v>
      </c>
      <c r="AB94" s="130">
        <f>IFERROR(_xlfn.XLOOKUP($A94,'Raw Data'!$G:$G,'Raw Data'!H:H),"")</f>
        <v>8.0208999999999993</v>
      </c>
      <c r="AC94" s="76">
        <f>IFERROR(_xlfn.XLOOKUP($D94,'Modelling New'!$D:$D,'Modelling New'!P:P),"")</f>
        <v>4.7600000000000007</v>
      </c>
      <c r="AD94" s="130">
        <f>IFERROR(_xlfn.XLOOKUP($D94,'Modelling New'!$D:$D,'Modelling New'!$T:$T)*1000,"")</f>
        <v>25919.748311299463</v>
      </c>
      <c r="AE94" s="138">
        <f>IFERROR(_xlfn.XLOOKUP($D94,'Modelling New'!$D:$D,'Modelling New'!O:O),"")</f>
        <v>0.67889205394445518</v>
      </c>
      <c r="AF94" s="137">
        <f>IFERROR(_xlfn.XLOOKUP($D94,'Modelling New'!$D:$D,'Modelling New'!W:W),"")</f>
        <v>0.13464692403231696</v>
      </c>
      <c r="AG94" s="137">
        <f>IFERROR(_xlfn.XLOOKUP($D94,'Modelling New'!$D:$D,'Modelling New'!AE:AE),"")</f>
        <v>0.98040000000000005</v>
      </c>
      <c r="AH94" s="156">
        <f>IFERROR(_xlfn.XLOOKUP($D94,'Modelling New'!$D:$D,'Modelling New'!AF:AF),"")</f>
        <v>0.98</v>
      </c>
      <c r="AN94" s="134"/>
      <c r="AO94" s="137"/>
      <c r="AP94" s="137"/>
      <c r="AQ94" s="137"/>
      <c r="AR94" s="130">
        <f>'Basic Data'!$B$98/1000</f>
        <v>8.0208999999999993</v>
      </c>
    </row>
    <row r="95" spans="1:44" x14ac:dyDescent="0.3">
      <c r="A95" s="129">
        <f t="shared" si="7"/>
        <v>45838</v>
      </c>
      <c r="B95" s="130">
        <f>YEAR(Table13[[#This Row],[Date]])+IF(MONTH(Table13[[#This Row],[Date]])&gt;=4,1,0)</f>
        <v>2026</v>
      </c>
      <c r="C95" s="7">
        <f>YEAR(Table13[[#This Row],[Date]])</f>
        <v>2025</v>
      </c>
      <c r="D95" s="131">
        <f>Table13[[#This Row],[Date]]-DAY(Table13[[#This Row],[Date]])+1</f>
        <v>45809</v>
      </c>
      <c r="E95" s="7">
        <f t="shared" si="4"/>
        <v>30</v>
      </c>
      <c r="F95" s="132">
        <f>IFERROR(_xlfn.XLOOKUP($A95,'Raw Data'!$G:$G,'Raw Data'!$AM:$AM),"")</f>
        <v>12.5</v>
      </c>
      <c r="G95" s="133">
        <f>IFERROR(_xlfn.XLOOKUP($A95,'Raw Data'!$G:$G,'Raw Data'!$AB:$AB),"")</f>
        <v>0</v>
      </c>
      <c r="H95" s="133"/>
      <c r="I95" s="133">
        <f>IFERROR(_xlfn.XLOOKUP($A95,'Raw Data'!$G:$G,'Raw Data'!$AC:$AC),"")</f>
        <v>3.25</v>
      </c>
      <c r="J95" s="133"/>
      <c r="K95" s="133">
        <f>IFERROR(_xlfn.XLOOKUP($A95,'Raw Data'!$G:$G,'Raw Data'!AD:AD),"")</f>
        <v>0</v>
      </c>
      <c r="L95" s="133">
        <f>IFERROR(_xlfn.XLOOKUP($A95,'Raw Data'!$G:$G,'Raw Data'!AE:AE),"")</f>
        <v>32.46</v>
      </c>
      <c r="M95" s="133">
        <f>IFERROR(_xlfn.XLOOKUP($A95,'Raw Data'!$G:$G,'Raw Data'!AF:AF),"")</f>
        <v>0</v>
      </c>
      <c r="N95" s="133">
        <f>IFERROR(_xlfn.XLOOKUP($A95,'Raw Data'!$G:$G,'Raw Data'!AG:AG),"")</f>
        <v>0</v>
      </c>
      <c r="O95" s="134">
        <f>IFERROR(1-SUMIF('Plant BD'!$H:$H,$A95,'Plant BD'!$AE:$AE)/($AA95+SUMIF('Plant BD'!$H:$H,$A95,'Plant BD'!$AE:$AE)),"")</f>
        <v>1</v>
      </c>
      <c r="P95" s="134"/>
      <c r="Q95" s="135"/>
      <c r="R95" s="134">
        <f>IFERROR(1-SUMIF('Grid BD'!$H:$H,$A95,'Grid BD'!$AD:$AD)/($AA95+SUMIF('Grid BD'!$H:$H,$A95,'Grid BD'!$AD:$AD)),"")</f>
        <v>1</v>
      </c>
      <c r="T95" s="135"/>
      <c r="U95" s="136">
        <f t="shared" si="5"/>
        <v>0.85162129321717761</v>
      </c>
      <c r="V95" s="136"/>
      <c r="W95" s="137">
        <f t="shared" si="6"/>
        <v>0.11532371678982611</v>
      </c>
      <c r="X95" s="130">
        <f>IFERROR(_xlfn.XLOOKUP($A95,'Raw Data'!$G:$G,'Raw Data'!AI:AI),"")</f>
        <v>22528.899999999998</v>
      </c>
      <c r="Y95" s="130">
        <f>IFERROR(_xlfn.XLOOKUP($A95,'Raw Data'!$G:$G,'Raw Data'!AJ:AJ),"")</f>
        <v>22299.999999988358</v>
      </c>
      <c r="Z95" s="130">
        <f>IFERROR(_xlfn.XLOOKUP($A95,'Raw Data'!$G:$G,'Raw Data'!AK:AK),"")</f>
        <v>99.999999999965894</v>
      </c>
      <c r="AA95" s="130">
        <f>IFERROR(_xlfn.XLOOKUP($A95,'Raw Data'!$G:$G,'Raw Data'!AL:AL),"")</f>
        <v>22199.999999988391</v>
      </c>
      <c r="AB95" s="130">
        <f>IFERROR(_xlfn.XLOOKUP($A95,'Raw Data'!$G:$G,'Raw Data'!H:H),"")</f>
        <v>8.0208999999999993</v>
      </c>
      <c r="AC95" s="76">
        <f>IFERROR(_xlfn.XLOOKUP($D95,'Modelling New'!$D:$D,'Modelling New'!P:P),"")</f>
        <v>4.7600000000000007</v>
      </c>
      <c r="AD95" s="130">
        <f>IFERROR(_xlfn.XLOOKUP($D95,'Modelling New'!$D:$D,'Modelling New'!$T:$T)*1000,"")</f>
        <v>25919.748311299463</v>
      </c>
      <c r="AE95" s="138">
        <f>IFERROR(_xlfn.XLOOKUP($D95,'Modelling New'!$D:$D,'Modelling New'!O:O),"")</f>
        <v>0.67889205394445518</v>
      </c>
      <c r="AF95" s="137">
        <f>IFERROR(_xlfn.XLOOKUP($D95,'Modelling New'!$D:$D,'Modelling New'!W:W),"")</f>
        <v>0.13464692403231696</v>
      </c>
      <c r="AG95" s="137">
        <f>IFERROR(_xlfn.XLOOKUP($D95,'Modelling New'!$D:$D,'Modelling New'!AE:AE),"")</f>
        <v>0.98040000000000005</v>
      </c>
      <c r="AH95" s="156">
        <f>IFERROR(_xlfn.XLOOKUP($D95,'Modelling New'!$D:$D,'Modelling New'!AF:AF),"")</f>
        <v>0.98</v>
      </c>
      <c r="AN95" s="134"/>
      <c r="AO95" s="137"/>
      <c r="AP95" s="137"/>
      <c r="AQ95" s="137"/>
      <c r="AR95" s="130">
        <f>'Basic Data'!$B$98/1000</f>
        <v>8.0208999999999993</v>
      </c>
    </row>
    <row r="96" spans="1:44" x14ac:dyDescent="0.3">
      <c r="A96" s="129">
        <f t="shared" si="7"/>
        <v>45839</v>
      </c>
      <c r="B96" s="130">
        <f>YEAR(Table13[[#This Row],[Date]])+IF(MONTH(Table13[[#This Row],[Date]])&gt;=4,1,0)</f>
        <v>2026</v>
      </c>
      <c r="C96" s="7">
        <f>YEAR(Table13[[#This Row],[Date]])</f>
        <v>2025</v>
      </c>
      <c r="D96" s="131">
        <f>Table13[[#This Row],[Date]]-DAY(Table13[[#This Row],[Date]])+1</f>
        <v>45839</v>
      </c>
      <c r="E96" s="7">
        <f t="shared" si="4"/>
        <v>31</v>
      </c>
      <c r="F96" s="132">
        <f>IFERROR(_xlfn.XLOOKUP($A96,'Raw Data'!$G:$G,'Raw Data'!$AM:$AM),"")</f>
        <v>11.633333333333335</v>
      </c>
      <c r="G96" s="133">
        <f>IFERROR(_xlfn.XLOOKUP($A96,'Raw Data'!$G:$G,'Raw Data'!$AB:$AB),"")</f>
        <v>0</v>
      </c>
      <c r="H96" s="133"/>
      <c r="I96" s="133">
        <f>IFERROR(_xlfn.XLOOKUP($A96,'Raw Data'!$G:$G,'Raw Data'!$AC:$AC),"")</f>
        <v>2.5299999999999998</v>
      </c>
      <c r="J96" s="133"/>
      <c r="K96" s="133">
        <f>IFERROR(_xlfn.XLOOKUP($A96,'Raw Data'!$G:$G,'Raw Data'!AD:AD),"")</f>
        <v>0</v>
      </c>
      <c r="L96" s="133">
        <f>IFERROR(_xlfn.XLOOKUP($A96,'Raw Data'!$G:$G,'Raw Data'!AE:AE),"")</f>
        <v>29.75</v>
      </c>
      <c r="M96" s="133">
        <f>IFERROR(_xlfn.XLOOKUP($A96,'Raw Data'!$G:$G,'Raw Data'!AF:AF),"")</f>
        <v>0</v>
      </c>
      <c r="N96" s="133">
        <f>IFERROR(_xlfn.XLOOKUP($A96,'Raw Data'!$G:$G,'Raw Data'!AG:AG),"")</f>
        <v>0</v>
      </c>
      <c r="O96" s="134">
        <f>IFERROR(1-SUMIF('Plant BD'!$H:$H,$A96,'Plant BD'!$AE:$AE)/($AA96+SUMIF('Plant BD'!$H:$H,$A96,'Plant BD'!$AE:$AE)),"")</f>
        <v>1</v>
      </c>
      <c r="P96" s="134"/>
      <c r="Q96" s="135"/>
      <c r="R96" s="134">
        <f>IFERROR(1-SUMIF('Grid BD'!$H:$H,$A96,'Grid BD'!$AD:$AD)/($AA96+SUMIF('Grid BD'!$H:$H,$A96,'Grid BD'!$AD:$AD)),"")</f>
        <v>1</v>
      </c>
      <c r="T96" s="135"/>
      <c r="U96" s="136">
        <f t="shared" si="5"/>
        <v>0.86237156022804473</v>
      </c>
      <c r="V96" s="136"/>
      <c r="W96" s="137">
        <f t="shared" si="6"/>
        <v>9.0908335307373023E-2</v>
      </c>
      <c r="X96" s="130">
        <f>IFERROR(_xlfn.XLOOKUP($A96,'Raw Data'!$G:$G,'Raw Data'!AI:AI),"")</f>
        <v>17757.7</v>
      </c>
      <c r="Y96" s="130">
        <f>IFERROR(_xlfn.XLOOKUP($A96,'Raw Data'!$G:$G,'Raw Data'!AJ:AJ),"")</f>
        <v>17600.000000005821</v>
      </c>
      <c r="Z96" s="130">
        <f>IFERROR(_xlfn.XLOOKUP($A96,'Raw Data'!$G:$G,'Raw Data'!AK:AK),"")</f>
        <v>100.00000000002274</v>
      </c>
      <c r="AA96" s="130">
        <f>IFERROR(_xlfn.XLOOKUP($A96,'Raw Data'!$G:$G,'Raw Data'!AL:AL),"")</f>
        <v>17500.000000005799</v>
      </c>
      <c r="AB96" s="130">
        <f>IFERROR(_xlfn.XLOOKUP($A96,'Raw Data'!$G:$G,'Raw Data'!H:H),"")</f>
        <v>8.0208999999999993</v>
      </c>
      <c r="AC96" s="76">
        <f>IFERROR(_xlfn.XLOOKUP($D96,'Modelling New'!$D:$D,'Modelling New'!P:P),"")</f>
        <v>4.0451612903225804</v>
      </c>
      <c r="AD96" s="130">
        <f>IFERROR(_xlfn.XLOOKUP($D96,'Modelling New'!$D:$D,'Modelling New'!$T:$T)*1000,"")</f>
        <v>22929.949138521675</v>
      </c>
      <c r="AE96" s="138">
        <f>IFERROR(_xlfn.XLOOKUP($D96,'Modelling New'!$D:$D,'Modelling New'!O:O),"")</f>
        <v>0.70671473575739119</v>
      </c>
      <c r="AF96" s="137">
        <f>IFERROR(_xlfn.XLOOKUP($D96,'Modelling New'!$D:$D,'Modelling New'!W:W),"")</f>
        <v>0.11911562884943125</v>
      </c>
      <c r="AG96" s="137">
        <f>IFERROR(_xlfn.XLOOKUP($D96,'Modelling New'!$D:$D,'Modelling New'!AE:AE),"")</f>
        <v>0.98040000000000005</v>
      </c>
      <c r="AH96" s="156">
        <f>IFERROR(_xlfn.XLOOKUP($D96,'Modelling New'!$D:$D,'Modelling New'!AF:AF),"")</f>
        <v>0.98</v>
      </c>
      <c r="AN96" s="134"/>
      <c r="AO96" s="137"/>
      <c r="AP96" s="137"/>
      <c r="AQ96" s="137"/>
      <c r="AR96" s="130">
        <f>'Basic Data'!$B$98/1000</f>
        <v>8.0208999999999993</v>
      </c>
    </row>
    <row r="97" spans="1:44" x14ac:dyDescent="0.3">
      <c r="A97" s="129">
        <f t="shared" si="7"/>
        <v>45840</v>
      </c>
      <c r="B97" s="130">
        <f>YEAR(Table13[[#This Row],[Date]])+IF(MONTH(Table13[[#This Row],[Date]])&gt;=4,1,0)</f>
        <v>2026</v>
      </c>
      <c r="C97" s="7">
        <f>YEAR(Table13[[#This Row],[Date]])</f>
        <v>2025</v>
      </c>
      <c r="D97" s="131">
        <f>Table13[[#This Row],[Date]]-DAY(Table13[[#This Row],[Date]])+1</f>
        <v>45839</v>
      </c>
      <c r="E97" s="7">
        <f t="shared" si="4"/>
        <v>31</v>
      </c>
      <c r="F97" s="132">
        <f>IFERROR(_xlfn.XLOOKUP($A97,'Raw Data'!$G:$G,'Raw Data'!$AM:$AM),"")</f>
        <v>12.416666666666668</v>
      </c>
      <c r="G97" s="133">
        <f>IFERROR(_xlfn.XLOOKUP($A97,'Raw Data'!$G:$G,'Raw Data'!$AB:$AB),"")</f>
        <v>0</v>
      </c>
      <c r="H97" s="133"/>
      <c r="I97" s="133">
        <f>IFERROR(_xlfn.XLOOKUP($A97,'Raw Data'!$G:$G,'Raw Data'!$AC:$AC),"")</f>
        <v>1.5</v>
      </c>
      <c r="J97" s="133"/>
      <c r="K97" s="133">
        <f>IFERROR(_xlfn.XLOOKUP($A97,'Raw Data'!$G:$G,'Raw Data'!AD:AD),"")</f>
        <v>0</v>
      </c>
      <c r="L97" s="133">
        <f>IFERROR(_xlfn.XLOOKUP($A97,'Raw Data'!$G:$G,'Raw Data'!AE:AE),"")</f>
        <v>27.01</v>
      </c>
      <c r="M97" s="133">
        <f>IFERROR(_xlfn.XLOOKUP($A97,'Raw Data'!$G:$G,'Raw Data'!AF:AF),"")</f>
        <v>0</v>
      </c>
      <c r="N97" s="133">
        <f>IFERROR(_xlfn.XLOOKUP($A97,'Raw Data'!$G:$G,'Raw Data'!AG:AG),"")</f>
        <v>0</v>
      </c>
      <c r="O97" s="134">
        <f>IFERROR(1-SUMIF('Plant BD'!$H:$H,$A97,'Plant BD'!$AE:$AE)/($AA97+SUMIF('Plant BD'!$H:$H,$A97,'Plant BD'!$AE:$AE)),"")</f>
        <v>1</v>
      </c>
      <c r="P97" s="134"/>
      <c r="Q97" s="135"/>
      <c r="R97" s="134">
        <f>IFERROR(1-SUMIF('Grid BD'!$H:$H,$A97,'Grid BD'!$AD:$AD)/($AA97+SUMIF('Grid BD'!$H:$H,$A97,'Grid BD'!$AD:$AD)),"")</f>
        <v>1</v>
      </c>
      <c r="T97" s="135"/>
      <c r="U97" s="136">
        <f t="shared" si="5"/>
        <v>0.88518744779264003</v>
      </c>
      <c r="V97" s="136"/>
      <c r="W97" s="137">
        <f t="shared" si="6"/>
        <v>5.5324215487039995E-2</v>
      </c>
      <c r="X97" s="130">
        <f>IFERROR(_xlfn.XLOOKUP($A97,'Raw Data'!$G:$G,'Raw Data'!AI:AI),"")</f>
        <v>10880.5</v>
      </c>
      <c r="Y97" s="130">
        <f>IFERROR(_xlfn.XLOOKUP($A97,'Raw Data'!$G:$G,'Raw Data'!AJ:AJ),"")</f>
        <v>10750</v>
      </c>
      <c r="Z97" s="130">
        <f>IFERROR(_xlfn.XLOOKUP($A97,'Raw Data'!$G:$G,'Raw Data'!AK:AK),"")</f>
        <v>100.00000000002274</v>
      </c>
      <c r="AA97" s="130">
        <f>IFERROR(_xlfn.XLOOKUP($A97,'Raw Data'!$G:$G,'Raw Data'!AL:AL),"")</f>
        <v>10649.999999999978</v>
      </c>
      <c r="AB97" s="130">
        <f>IFERROR(_xlfn.XLOOKUP($A97,'Raw Data'!$G:$G,'Raw Data'!H:H),"")</f>
        <v>8.0208999999999993</v>
      </c>
      <c r="AC97" s="76">
        <f>IFERROR(_xlfn.XLOOKUP($D97,'Modelling New'!$D:$D,'Modelling New'!P:P),"")</f>
        <v>4.0451612903225804</v>
      </c>
      <c r="AD97" s="130">
        <f>IFERROR(_xlfn.XLOOKUP($D97,'Modelling New'!$D:$D,'Modelling New'!$T:$T)*1000,"")</f>
        <v>22929.949138521675</v>
      </c>
      <c r="AE97" s="138">
        <f>IFERROR(_xlfn.XLOOKUP($D97,'Modelling New'!$D:$D,'Modelling New'!O:O),"")</f>
        <v>0.70671473575739119</v>
      </c>
      <c r="AF97" s="137">
        <f>IFERROR(_xlfn.XLOOKUP($D97,'Modelling New'!$D:$D,'Modelling New'!W:W),"")</f>
        <v>0.11911562884943125</v>
      </c>
      <c r="AG97" s="137">
        <f>IFERROR(_xlfn.XLOOKUP($D97,'Modelling New'!$D:$D,'Modelling New'!AE:AE),"")</f>
        <v>0.98040000000000005</v>
      </c>
      <c r="AH97" s="156">
        <f>IFERROR(_xlfn.XLOOKUP($D97,'Modelling New'!$D:$D,'Modelling New'!AF:AF),"")</f>
        <v>0.98</v>
      </c>
      <c r="AN97" s="134"/>
      <c r="AO97" s="137"/>
      <c r="AP97" s="137"/>
      <c r="AQ97" s="137"/>
      <c r="AR97" s="130">
        <f>'Basic Data'!$B$98/1000</f>
        <v>8.0208999999999993</v>
      </c>
    </row>
    <row r="98" spans="1:44" x14ac:dyDescent="0.3">
      <c r="A98" s="129">
        <f t="shared" si="7"/>
        <v>45841</v>
      </c>
      <c r="B98" s="130">
        <f>YEAR(Table13[[#This Row],[Date]])+IF(MONTH(Table13[[#This Row],[Date]])&gt;=4,1,0)</f>
        <v>2026</v>
      </c>
      <c r="C98" s="7">
        <f>YEAR(Table13[[#This Row],[Date]])</f>
        <v>2025</v>
      </c>
      <c r="D98" s="131">
        <f>Table13[[#This Row],[Date]]-DAY(Table13[[#This Row],[Date]])+1</f>
        <v>45839</v>
      </c>
      <c r="E98" s="7">
        <f t="shared" si="4"/>
        <v>31</v>
      </c>
      <c r="F98" s="132">
        <f>IFERROR(_xlfn.XLOOKUP($A98,'Raw Data'!$G:$G,'Raw Data'!$AM:$AM),"")</f>
        <v>12.133333333333333</v>
      </c>
      <c r="G98" s="133">
        <f>IFERROR(_xlfn.XLOOKUP($A98,'Raw Data'!$G:$G,'Raw Data'!$AB:$AB),"")</f>
        <v>0</v>
      </c>
      <c r="H98" s="133"/>
      <c r="I98" s="133">
        <f>IFERROR(_xlfn.XLOOKUP($A98,'Raw Data'!$G:$G,'Raw Data'!$AC:$AC),"")</f>
        <v>2.68</v>
      </c>
      <c r="J98" s="133"/>
      <c r="K98" s="133">
        <f>IFERROR(_xlfn.XLOOKUP($A98,'Raw Data'!$G:$G,'Raw Data'!AD:AD),"")</f>
        <v>0</v>
      </c>
      <c r="L98" s="133">
        <f>IFERROR(_xlfn.XLOOKUP($A98,'Raw Data'!$G:$G,'Raw Data'!AE:AE),"")</f>
        <v>31.01</v>
      </c>
      <c r="M98" s="133">
        <f>IFERROR(_xlfn.XLOOKUP($A98,'Raw Data'!$G:$G,'Raw Data'!AF:AF),"")</f>
        <v>0</v>
      </c>
      <c r="N98" s="133">
        <f>IFERROR(_xlfn.XLOOKUP($A98,'Raw Data'!$G:$G,'Raw Data'!AG:AG),"")</f>
        <v>0</v>
      </c>
      <c r="O98" s="134">
        <f>IFERROR(1-SUMIF('Plant BD'!$H:$H,$A98,'Plant BD'!$AE:$AE)/($AA98+SUMIF('Plant BD'!$H:$H,$A98,'Plant BD'!$AE:$AE)),"")</f>
        <v>1</v>
      </c>
      <c r="P98" s="134"/>
      <c r="Q98" s="135"/>
      <c r="R98" s="134">
        <f>IFERROR(1-SUMIF('Grid BD'!$H:$H,$A98,'Grid BD'!$AD:$AD)/($AA98+SUMIF('Grid BD'!$H:$H,$A98,'Grid BD'!$AD:$AD)),"")</f>
        <v>0.97367500063178636</v>
      </c>
      <c r="T98" s="135"/>
      <c r="U98" s="136">
        <f t="shared" si="5"/>
        <v>0.82806057235147679</v>
      </c>
      <c r="V98" s="136"/>
      <c r="W98" s="137">
        <f t="shared" si="6"/>
        <v>9.2466763912581559E-2</v>
      </c>
      <c r="X98" s="130">
        <f>IFERROR(_xlfn.XLOOKUP($A98,'Raw Data'!$G:$G,'Raw Data'!AI:AI),"")</f>
        <v>18071.099999999999</v>
      </c>
      <c r="Y98" s="130">
        <f>IFERROR(_xlfn.XLOOKUP($A98,'Raw Data'!$G:$G,'Raw Data'!AJ:AJ),"")</f>
        <v>17899.999999994179</v>
      </c>
      <c r="Z98" s="130">
        <f>IFERROR(_xlfn.XLOOKUP($A98,'Raw Data'!$G:$G,'Raw Data'!AK:AK),"")</f>
        <v>99.999999999965894</v>
      </c>
      <c r="AA98" s="130">
        <f>IFERROR(_xlfn.XLOOKUP($A98,'Raw Data'!$G:$G,'Raw Data'!AL:AL),"")</f>
        <v>17799.999999994212</v>
      </c>
      <c r="AB98" s="130">
        <f>IFERROR(_xlfn.XLOOKUP($A98,'Raw Data'!$G:$G,'Raw Data'!H:H),"")</f>
        <v>8.0208999999999993</v>
      </c>
      <c r="AC98" s="76">
        <f>IFERROR(_xlfn.XLOOKUP($D98,'Modelling New'!$D:$D,'Modelling New'!P:P),"")</f>
        <v>4.0451612903225804</v>
      </c>
      <c r="AD98" s="130">
        <f>IFERROR(_xlfn.XLOOKUP($D98,'Modelling New'!$D:$D,'Modelling New'!$T:$T)*1000,"")</f>
        <v>22929.949138521675</v>
      </c>
      <c r="AE98" s="138">
        <f>IFERROR(_xlfn.XLOOKUP($D98,'Modelling New'!$D:$D,'Modelling New'!O:O),"")</f>
        <v>0.70671473575739119</v>
      </c>
      <c r="AF98" s="137">
        <f>IFERROR(_xlfn.XLOOKUP($D98,'Modelling New'!$D:$D,'Modelling New'!W:W),"")</f>
        <v>0.11911562884943125</v>
      </c>
      <c r="AG98" s="137">
        <f>IFERROR(_xlfn.XLOOKUP($D98,'Modelling New'!$D:$D,'Modelling New'!AE:AE),"")</f>
        <v>0.98040000000000005</v>
      </c>
      <c r="AH98" s="156">
        <f>IFERROR(_xlfn.XLOOKUP($D98,'Modelling New'!$D:$D,'Modelling New'!AF:AF),"")</f>
        <v>0.98</v>
      </c>
      <c r="AN98" s="134"/>
      <c r="AO98" s="137"/>
      <c r="AP98" s="137"/>
      <c r="AQ98" s="137"/>
      <c r="AR98" s="130">
        <f>'Basic Data'!$B$98/1000</f>
        <v>8.0208999999999993</v>
      </c>
    </row>
    <row r="99" spans="1:44" x14ac:dyDescent="0.3">
      <c r="A99" s="129">
        <f t="shared" si="7"/>
        <v>45842</v>
      </c>
      <c r="B99" s="130">
        <f>YEAR(Table13[[#This Row],[Date]])+IF(MONTH(Table13[[#This Row],[Date]])&gt;=4,1,0)</f>
        <v>2026</v>
      </c>
      <c r="C99" s="7">
        <f>YEAR(Table13[[#This Row],[Date]])</f>
        <v>2025</v>
      </c>
      <c r="D99" s="131">
        <f>Table13[[#This Row],[Date]]-DAY(Table13[[#This Row],[Date]])+1</f>
        <v>45839</v>
      </c>
      <c r="E99" s="7">
        <f t="shared" si="4"/>
        <v>31</v>
      </c>
      <c r="F99" s="132">
        <f>IFERROR(_xlfn.XLOOKUP($A99,'Raw Data'!$G:$G,'Raw Data'!$AM:$AM),"")</f>
        <v>12.416666666666668</v>
      </c>
      <c r="G99" s="133">
        <f>IFERROR(_xlfn.XLOOKUP($A99,'Raw Data'!$G:$G,'Raw Data'!$AB:$AB),"")</f>
        <v>0</v>
      </c>
      <c r="H99" s="133"/>
      <c r="I99" s="133">
        <f>IFERROR(_xlfn.XLOOKUP($A99,'Raw Data'!$G:$G,'Raw Data'!$AC:$AC),"")</f>
        <v>4.76</v>
      </c>
      <c r="J99" s="133"/>
      <c r="K99" s="133">
        <f>IFERROR(_xlfn.XLOOKUP($A99,'Raw Data'!$G:$G,'Raw Data'!AD:AD),"")</f>
        <v>0</v>
      </c>
      <c r="L99" s="133">
        <f>IFERROR(_xlfn.XLOOKUP($A99,'Raw Data'!$G:$G,'Raw Data'!AE:AE),"")</f>
        <v>35.32</v>
      </c>
      <c r="M99" s="133">
        <f>IFERROR(_xlfn.XLOOKUP($A99,'Raw Data'!$G:$G,'Raw Data'!AF:AF),"")</f>
        <v>0</v>
      </c>
      <c r="N99" s="133">
        <f>IFERROR(_xlfn.XLOOKUP($A99,'Raw Data'!$G:$G,'Raw Data'!AG:AG),"")</f>
        <v>0</v>
      </c>
      <c r="O99" s="134">
        <f>IFERROR(1-SUMIF('Plant BD'!$H:$H,$A99,'Plant BD'!$AE:$AE)/($AA99+SUMIF('Plant BD'!$H:$H,$A99,'Plant BD'!$AE:$AE)),"")</f>
        <v>1</v>
      </c>
      <c r="P99" s="134"/>
      <c r="Q99" s="135"/>
      <c r="R99" s="134">
        <f>IFERROR(1-SUMIF('Grid BD'!$H:$H,$A99,'Grid BD'!$AD:$AD)/($AA99+SUMIF('Grid BD'!$H:$H,$A99,'Grid BD'!$AD:$AD)),"")</f>
        <v>1</v>
      </c>
      <c r="T99" s="135"/>
      <c r="U99" s="136">
        <f t="shared" si="5"/>
        <v>0.81064479551381297</v>
      </c>
      <c r="V99" s="136"/>
      <c r="W99" s="137">
        <f t="shared" si="6"/>
        <v>0.16077788444357288</v>
      </c>
      <c r="X99" s="130">
        <f>IFERROR(_xlfn.XLOOKUP($A99,'Raw Data'!$G:$G,'Raw Data'!AI:AI),"")</f>
        <v>31337.8</v>
      </c>
      <c r="Y99" s="130">
        <f>IFERROR(_xlfn.XLOOKUP($A99,'Raw Data'!$G:$G,'Raw Data'!AJ:AJ),"")</f>
        <v>31050.00000000291</v>
      </c>
      <c r="Z99" s="130">
        <f>IFERROR(_xlfn.XLOOKUP($A99,'Raw Data'!$G:$G,'Raw Data'!AK:AK),"")</f>
        <v>100.00000000002274</v>
      </c>
      <c r="AA99" s="130">
        <f>IFERROR(_xlfn.XLOOKUP($A99,'Raw Data'!$G:$G,'Raw Data'!AL:AL),"")</f>
        <v>30950.000000002889</v>
      </c>
      <c r="AB99" s="130">
        <f>IFERROR(_xlfn.XLOOKUP($A99,'Raw Data'!$G:$G,'Raw Data'!H:H),"")</f>
        <v>8.0208999999999993</v>
      </c>
      <c r="AC99" s="76">
        <f>IFERROR(_xlfn.XLOOKUP($D99,'Modelling New'!$D:$D,'Modelling New'!P:P),"")</f>
        <v>4.0451612903225804</v>
      </c>
      <c r="AD99" s="130">
        <f>IFERROR(_xlfn.XLOOKUP($D99,'Modelling New'!$D:$D,'Modelling New'!$T:$T)*1000,"")</f>
        <v>22929.949138521675</v>
      </c>
      <c r="AE99" s="138">
        <f>IFERROR(_xlfn.XLOOKUP($D99,'Modelling New'!$D:$D,'Modelling New'!O:O),"")</f>
        <v>0.70671473575739119</v>
      </c>
      <c r="AF99" s="137">
        <f>IFERROR(_xlfn.XLOOKUP($D99,'Modelling New'!$D:$D,'Modelling New'!W:W),"")</f>
        <v>0.11911562884943125</v>
      </c>
      <c r="AG99" s="137">
        <f>IFERROR(_xlfn.XLOOKUP($D99,'Modelling New'!$D:$D,'Modelling New'!AE:AE),"")</f>
        <v>0.98040000000000005</v>
      </c>
      <c r="AH99" s="156">
        <f>IFERROR(_xlfn.XLOOKUP($D99,'Modelling New'!$D:$D,'Modelling New'!AF:AF),"")</f>
        <v>0.98</v>
      </c>
      <c r="AN99" s="134"/>
      <c r="AO99" s="137"/>
      <c r="AP99" s="137"/>
      <c r="AQ99" s="137"/>
      <c r="AR99" s="130">
        <f>'Basic Data'!$B$98/1000</f>
        <v>8.0208999999999993</v>
      </c>
    </row>
    <row r="100" spans="1:44" x14ac:dyDescent="0.3">
      <c r="A100" s="129">
        <f t="shared" si="7"/>
        <v>45843</v>
      </c>
      <c r="B100" s="130">
        <f>YEAR(Table13[[#This Row],[Date]])+IF(MONTH(Table13[[#This Row],[Date]])&gt;=4,1,0)</f>
        <v>2026</v>
      </c>
      <c r="C100" s="7">
        <f>YEAR(Table13[[#This Row],[Date]])</f>
        <v>2025</v>
      </c>
      <c r="D100" s="131">
        <f>Table13[[#This Row],[Date]]-DAY(Table13[[#This Row],[Date]])+1</f>
        <v>45839</v>
      </c>
      <c r="E100" s="7">
        <f t="shared" si="4"/>
        <v>31</v>
      </c>
      <c r="F100" s="132">
        <f>IFERROR(_xlfn.XLOOKUP($A100,'Raw Data'!$G:$G,'Raw Data'!$AM:$AM),"")</f>
        <v>12.733333333333334</v>
      </c>
      <c r="G100" s="133">
        <f>IFERROR(_xlfn.XLOOKUP($A100,'Raw Data'!$G:$G,'Raw Data'!$AB:$AB),"")</f>
        <v>0</v>
      </c>
      <c r="H100" s="133"/>
      <c r="I100" s="133">
        <f>IFERROR(_xlfn.XLOOKUP($A100,'Raw Data'!$G:$G,'Raw Data'!$AC:$AC),"")</f>
        <v>4.5999999999999996</v>
      </c>
      <c r="J100" s="133"/>
      <c r="K100" s="133">
        <f>IFERROR(_xlfn.XLOOKUP($A100,'Raw Data'!$G:$G,'Raw Data'!AD:AD),"")</f>
        <v>0</v>
      </c>
      <c r="L100" s="133">
        <f>IFERROR(_xlfn.XLOOKUP($A100,'Raw Data'!$G:$G,'Raw Data'!AE:AE),"")</f>
        <v>33.96</v>
      </c>
      <c r="M100" s="133">
        <f>IFERROR(_xlfn.XLOOKUP($A100,'Raw Data'!$G:$G,'Raw Data'!AF:AF),"")</f>
        <v>0</v>
      </c>
      <c r="N100" s="133">
        <f>IFERROR(_xlfn.XLOOKUP($A100,'Raw Data'!$G:$G,'Raw Data'!AG:AG),"")</f>
        <v>0</v>
      </c>
      <c r="O100" s="134">
        <f>IFERROR(1-SUMIF('Plant BD'!$H:$H,$A100,'Plant BD'!$AE:$AE)/($AA100+SUMIF('Plant BD'!$H:$H,$A100,'Plant BD'!$AE:$AE)),"")</f>
        <v>1</v>
      </c>
      <c r="P100" s="134"/>
      <c r="Q100" s="135"/>
      <c r="R100" s="134">
        <f>IFERROR(1-SUMIF('Grid BD'!$H:$H,$A100,'Grid BD'!$AD:$AD)/($AA100+SUMIF('Grid BD'!$H:$H,$A100,'Grid BD'!$AD:$AD)),"")</f>
        <v>1</v>
      </c>
      <c r="T100" s="135"/>
      <c r="U100" s="136">
        <f t="shared" si="5"/>
        <v>0.7954761663414418</v>
      </c>
      <c r="V100" s="136"/>
      <c r="W100" s="137">
        <f t="shared" si="6"/>
        <v>0.15246626521544299</v>
      </c>
      <c r="X100" s="130">
        <f>IFERROR(_xlfn.XLOOKUP($A100,'Raw Data'!$G:$G,'Raw Data'!AI:AI),"")</f>
        <v>29714.199999999997</v>
      </c>
      <c r="Y100" s="130">
        <f>IFERROR(_xlfn.XLOOKUP($A100,'Raw Data'!$G:$G,'Raw Data'!AJ:AJ),"")</f>
        <v>29449.99999999709</v>
      </c>
      <c r="Z100" s="130">
        <f>IFERROR(_xlfn.XLOOKUP($A100,'Raw Data'!$G:$G,'Raw Data'!AK:AK),"")</f>
        <v>99.999999999965894</v>
      </c>
      <c r="AA100" s="130">
        <f>IFERROR(_xlfn.XLOOKUP($A100,'Raw Data'!$G:$G,'Raw Data'!AL:AL),"")</f>
        <v>29349.999999997122</v>
      </c>
      <c r="AB100" s="130">
        <f>IFERROR(_xlfn.XLOOKUP($A100,'Raw Data'!$G:$G,'Raw Data'!H:H),"")</f>
        <v>8.0208999999999993</v>
      </c>
      <c r="AC100" s="76">
        <f>IFERROR(_xlfn.XLOOKUP($D100,'Modelling New'!$D:$D,'Modelling New'!P:P),"")</f>
        <v>4.0451612903225804</v>
      </c>
      <c r="AD100" s="130">
        <f>IFERROR(_xlfn.XLOOKUP($D100,'Modelling New'!$D:$D,'Modelling New'!$T:$T)*1000,"")</f>
        <v>22929.949138521675</v>
      </c>
      <c r="AE100" s="138">
        <f>IFERROR(_xlfn.XLOOKUP($D100,'Modelling New'!$D:$D,'Modelling New'!O:O),"")</f>
        <v>0.70671473575739119</v>
      </c>
      <c r="AF100" s="137">
        <f>IFERROR(_xlfn.XLOOKUP($D100,'Modelling New'!$D:$D,'Modelling New'!W:W),"")</f>
        <v>0.11911562884943125</v>
      </c>
      <c r="AG100" s="137">
        <f>IFERROR(_xlfn.XLOOKUP($D100,'Modelling New'!$D:$D,'Modelling New'!AE:AE),"")</f>
        <v>0.98040000000000005</v>
      </c>
      <c r="AH100" s="156">
        <f>IFERROR(_xlfn.XLOOKUP($D100,'Modelling New'!$D:$D,'Modelling New'!AF:AF),"")</f>
        <v>0.98</v>
      </c>
      <c r="AN100" s="134"/>
      <c r="AO100" s="137"/>
      <c r="AP100" s="137"/>
      <c r="AQ100" s="137"/>
      <c r="AR100" s="130">
        <f>'Basic Data'!$B$98/1000</f>
        <v>8.0208999999999993</v>
      </c>
    </row>
    <row r="101" spans="1:44" x14ac:dyDescent="0.3">
      <c r="A101" s="129">
        <f t="shared" si="7"/>
        <v>45844</v>
      </c>
      <c r="B101" s="130">
        <f>YEAR(Table13[[#This Row],[Date]])+IF(MONTH(Table13[[#This Row],[Date]])&gt;=4,1,0)</f>
        <v>2026</v>
      </c>
      <c r="C101" s="7">
        <f>YEAR(Table13[[#This Row],[Date]])</f>
        <v>2025</v>
      </c>
      <c r="D101" s="131">
        <f>Table13[[#This Row],[Date]]-DAY(Table13[[#This Row],[Date]])+1</f>
        <v>45839</v>
      </c>
      <c r="E101" s="7">
        <f t="shared" si="4"/>
        <v>31</v>
      </c>
      <c r="F101" s="132">
        <f>IFERROR(_xlfn.XLOOKUP($A101,'Raw Data'!$G:$G,'Raw Data'!$AM:$AM),"")</f>
        <v>12.616666666666667</v>
      </c>
      <c r="G101" s="133">
        <f>IFERROR(_xlfn.XLOOKUP($A101,'Raw Data'!$G:$G,'Raw Data'!$AB:$AB),"")</f>
        <v>0</v>
      </c>
      <c r="H101" s="133"/>
      <c r="I101" s="133">
        <f>IFERROR(_xlfn.XLOOKUP($A101,'Raw Data'!$G:$G,'Raw Data'!$AC:$AC),"")</f>
        <v>5.21</v>
      </c>
      <c r="J101" s="133"/>
      <c r="K101" s="133">
        <f>IFERROR(_xlfn.XLOOKUP($A101,'Raw Data'!$G:$G,'Raw Data'!AD:AD),"")</f>
        <v>0</v>
      </c>
      <c r="L101" s="133">
        <f>IFERROR(_xlfn.XLOOKUP($A101,'Raw Data'!$G:$G,'Raw Data'!AE:AE),"")</f>
        <v>35.729999999999997</v>
      </c>
      <c r="M101" s="133">
        <f>IFERROR(_xlfn.XLOOKUP($A101,'Raw Data'!$G:$G,'Raw Data'!AF:AF),"")</f>
        <v>0</v>
      </c>
      <c r="N101" s="133">
        <f>IFERROR(_xlfn.XLOOKUP($A101,'Raw Data'!$G:$G,'Raw Data'!AG:AG),"")</f>
        <v>0</v>
      </c>
      <c r="O101" s="134">
        <f>IFERROR(1-SUMIF('Plant BD'!$H:$H,$A101,'Plant BD'!$AE:$AE)/($AA101+SUMIF('Plant BD'!$H:$H,$A101,'Plant BD'!$AE:$AE)),"")</f>
        <v>1</v>
      </c>
      <c r="P101" s="134"/>
      <c r="Q101" s="135"/>
      <c r="R101" s="134">
        <f>IFERROR(1-SUMIF('Grid BD'!$H:$H,$A101,'Grid BD'!$AD:$AD)/($AA101+SUMIF('Grid BD'!$H:$H,$A101,'Grid BD'!$AD:$AD)),"")</f>
        <v>0.96849104290833155</v>
      </c>
      <c r="T101" s="135"/>
      <c r="U101" s="136">
        <f t="shared" si="5"/>
        <v>0.76695027714205832</v>
      </c>
      <c r="V101" s="136"/>
      <c r="W101" s="137">
        <f t="shared" si="6"/>
        <v>0.16649212266292179</v>
      </c>
      <c r="X101" s="130">
        <f>IFERROR(_xlfn.XLOOKUP($A101,'Raw Data'!$G:$G,'Raw Data'!AI:AI),"")</f>
        <v>32440.700000000004</v>
      </c>
      <c r="Y101" s="130">
        <f>IFERROR(_xlfn.XLOOKUP($A101,'Raw Data'!$G:$G,'Raw Data'!AJ:AJ),"")</f>
        <v>32150.000000008731</v>
      </c>
      <c r="Z101" s="130">
        <f>IFERROR(_xlfn.XLOOKUP($A101,'Raw Data'!$G:$G,'Raw Data'!AK:AK),"")</f>
        <v>100.00000000002274</v>
      </c>
      <c r="AA101" s="130">
        <f>IFERROR(_xlfn.XLOOKUP($A101,'Raw Data'!$G:$G,'Raw Data'!AL:AL),"")</f>
        <v>32050.000000008709</v>
      </c>
      <c r="AB101" s="130">
        <f>IFERROR(_xlfn.XLOOKUP($A101,'Raw Data'!$G:$G,'Raw Data'!H:H),"")</f>
        <v>8.0208999999999993</v>
      </c>
      <c r="AC101" s="76">
        <f>IFERROR(_xlfn.XLOOKUP($D101,'Modelling New'!$D:$D,'Modelling New'!P:P),"")</f>
        <v>4.0451612903225804</v>
      </c>
      <c r="AD101" s="130">
        <f>IFERROR(_xlfn.XLOOKUP($D101,'Modelling New'!$D:$D,'Modelling New'!$T:$T)*1000,"")</f>
        <v>22929.949138521675</v>
      </c>
      <c r="AE101" s="138">
        <f>IFERROR(_xlfn.XLOOKUP($D101,'Modelling New'!$D:$D,'Modelling New'!O:O),"")</f>
        <v>0.70671473575739119</v>
      </c>
      <c r="AF101" s="137">
        <f>IFERROR(_xlfn.XLOOKUP($D101,'Modelling New'!$D:$D,'Modelling New'!W:W),"")</f>
        <v>0.11911562884943125</v>
      </c>
      <c r="AG101" s="137">
        <f>IFERROR(_xlfn.XLOOKUP($D101,'Modelling New'!$D:$D,'Modelling New'!AE:AE),"")</f>
        <v>0.98040000000000005</v>
      </c>
      <c r="AH101" s="156">
        <f>IFERROR(_xlfn.XLOOKUP($D101,'Modelling New'!$D:$D,'Modelling New'!AF:AF),"")</f>
        <v>0.98</v>
      </c>
      <c r="AN101" s="134"/>
      <c r="AO101" s="137"/>
      <c r="AP101" s="137"/>
      <c r="AQ101" s="137"/>
      <c r="AR101" s="130">
        <f>'Basic Data'!$B$98/1000</f>
        <v>8.0208999999999993</v>
      </c>
    </row>
    <row r="102" spans="1:44" x14ac:dyDescent="0.3">
      <c r="A102" s="129">
        <f t="shared" si="7"/>
        <v>45845</v>
      </c>
      <c r="B102" s="130">
        <f>YEAR(Table13[[#This Row],[Date]])+IF(MONTH(Table13[[#This Row],[Date]])&gt;=4,1,0)</f>
        <v>2026</v>
      </c>
      <c r="C102" s="7">
        <f>YEAR(Table13[[#This Row],[Date]])</f>
        <v>2025</v>
      </c>
      <c r="D102" s="131">
        <f>Table13[[#This Row],[Date]]-DAY(Table13[[#This Row],[Date]])+1</f>
        <v>45839</v>
      </c>
      <c r="E102" s="7">
        <f t="shared" si="4"/>
        <v>31</v>
      </c>
      <c r="F102" s="132">
        <f>IFERROR(_xlfn.XLOOKUP($A102,'Raw Data'!$G:$G,'Raw Data'!$AM:$AM),"")</f>
        <v>12.133333333333333</v>
      </c>
      <c r="G102" s="133">
        <f>IFERROR(_xlfn.XLOOKUP($A102,'Raw Data'!$G:$G,'Raw Data'!$AB:$AB),"")</f>
        <v>0</v>
      </c>
      <c r="H102" s="133"/>
      <c r="I102" s="133">
        <f>IFERROR(_xlfn.XLOOKUP($A102,'Raw Data'!$G:$G,'Raw Data'!$AC:$AC),"")</f>
        <v>2.27</v>
      </c>
      <c r="J102" s="133"/>
      <c r="K102" s="133">
        <f>IFERROR(_xlfn.XLOOKUP($A102,'Raw Data'!$G:$G,'Raw Data'!AD:AD),"")</f>
        <v>0</v>
      </c>
      <c r="L102" s="133">
        <f>IFERROR(_xlfn.XLOOKUP($A102,'Raw Data'!$G:$G,'Raw Data'!AE:AE),"")</f>
        <v>30.36</v>
      </c>
      <c r="M102" s="133">
        <f>IFERROR(_xlfn.XLOOKUP($A102,'Raw Data'!$G:$G,'Raw Data'!AF:AF),"")</f>
        <v>0</v>
      </c>
      <c r="N102" s="133">
        <f>IFERROR(_xlfn.XLOOKUP($A102,'Raw Data'!$G:$G,'Raw Data'!AG:AG),"")</f>
        <v>0</v>
      </c>
      <c r="O102" s="134">
        <f>IFERROR(1-SUMIF('Plant BD'!$H:$H,$A102,'Plant BD'!$AE:$AE)/($AA102+SUMIF('Plant BD'!$H:$H,$A102,'Plant BD'!$AE:$AE)),"")</f>
        <v>1</v>
      </c>
      <c r="P102" s="134"/>
      <c r="Q102" s="135"/>
      <c r="R102" s="134">
        <f>IFERROR(1-SUMIF('Grid BD'!$H:$H,$A102,'Grid BD'!$AD:$AD)/($AA102+SUMIF('Grid BD'!$H:$H,$A102,'Grid BD'!$AD:$AD)),"")</f>
        <v>1</v>
      </c>
      <c r="T102" s="135"/>
      <c r="U102" s="136">
        <f t="shared" si="5"/>
        <v>0.84031568847938498</v>
      </c>
      <c r="V102" s="136"/>
      <c r="W102" s="137">
        <f t="shared" si="6"/>
        <v>7.947985886867516E-2</v>
      </c>
      <c r="X102" s="130">
        <f>IFERROR(_xlfn.XLOOKUP($A102,'Raw Data'!$G:$G,'Raw Data'!AI:AI),"")</f>
        <v>15535.800000000001</v>
      </c>
      <c r="Y102" s="130">
        <f>IFERROR(_xlfn.XLOOKUP($A102,'Raw Data'!$G:$G,'Raw Data'!AJ:AJ),"")</f>
        <v>15399.999999994179</v>
      </c>
      <c r="Z102" s="130">
        <f>IFERROR(_xlfn.XLOOKUP($A102,'Raw Data'!$G:$G,'Raw Data'!AK:AK),"")</f>
        <v>100.00000000002274</v>
      </c>
      <c r="AA102" s="130">
        <f>IFERROR(_xlfn.XLOOKUP($A102,'Raw Data'!$G:$G,'Raw Data'!AL:AL),"")</f>
        <v>15299.999999994157</v>
      </c>
      <c r="AB102" s="130">
        <f>IFERROR(_xlfn.XLOOKUP($A102,'Raw Data'!$G:$G,'Raw Data'!H:H),"")</f>
        <v>8.0208999999999993</v>
      </c>
      <c r="AC102" s="76">
        <f>IFERROR(_xlfn.XLOOKUP($D102,'Modelling New'!$D:$D,'Modelling New'!P:P),"")</f>
        <v>4.0451612903225804</v>
      </c>
      <c r="AD102" s="130">
        <f>IFERROR(_xlfn.XLOOKUP($D102,'Modelling New'!$D:$D,'Modelling New'!$T:$T)*1000,"")</f>
        <v>22929.949138521675</v>
      </c>
      <c r="AE102" s="138">
        <f>IFERROR(_xlfn.XLOOKUP($D102,'Modelling New'!$D:$D,'Modelling New'!O:O),"")</f>
        <v>0.70671473575739119</v>
      </c>
      <c r="AF102" s="137">
        <f>IFERROR(_xlfn.XLOOKUP($D102,'Modelling New'!$D:$D,'Modelling New'!W:W),"")</f>
        <v>0.11911562884943125</v>
      </c>
      <c r="AG102" s="137">
        <f>IFERROR(_xlfn.XLOOKUP($D102,'Modelling New'!$D:$D,'Modelling New'!AE:AE),"")</f>
        <v>0.98040000000000005</v>
      </c>
      <c r="AH102" s="156">
        <f>IFERROR(_xlfn.XLOOKUP($D102,'Modelling New'!$D:$D,'Modelling New'!AF:AF),"")</f>
        <v>0.98</v>
      </c>
      <c r="AN102" s="134"/>
      <c r="AO102" s="137"/>
      <c r="AP102" s="137"/>
      <c r="AQ102" s="137"/>
      <c r="AR102" s="130">
        <f>'Basic Data'!$B$98/1000</f>
        <v>8.0208999999999993</v>
      </c>
    </row>
    <row r="103" spans="1:44" x14ac:dyDescent="0.3">
      <c r="A103" s="129">
        <f t="shared" si="7"/>
        <v>45846</v>
      </c>
      <c r="B103" s="130">
        <f>YEAR(Table13[[#This Row],[Date]])+IF(MONTH(Table13[[#This Row],[Date]])&gt;=4,1,0)</f>
        <v>2026</v>
      </c>
      <c r="C103" s="7">
        <f>YEAR(Table13[[#This Row],[Date]])</f>
        <v>2025</v>
      </c>
      <c r="D103" s="131">
        <f>Table13[[#This Row],[Date]]-DAY(Table13[[#This Row],[Date]])+1</f>
        <v>45839</v>
      </c>
      <c r="E103" s="7">
        <f t="shared" si="4"/>
        <v>31</v>
      </c>
      <c r="F103" s="132">
        <f>IFERROR(_xlfn.XLOOKUP($A103,'Raw Data'!$G:$G,'Raw Data'!$AM:$AM),"")</f>
        <v>11.8</v>
      </c>
      <c r="G103" s="133">
        <f>IFERROR(_xlfn.XLOOKUP($A103,'Raw Data'!$G:$G,'Raw Data'!$AB:$AB),"")</f>
        <v>0</v>
      </c>
      <c r="H103" s="133"/>
      <c r="I103" s="133">
        <f>IFERROR(_xlfn.XLOOKUP($A103,'Raw Data'!$G:$G,'Raw Data'!$AC:$AC),"")</f>
        <v>3.44</v>
      </c>
      <c r="J103" s="133"/>
      <c r="K103" s="133">
        <f>IFERROR(_xlfn.XLOOKUP($A103,'Raw Data'!$G:$G,'Raw Data'!AD:AD),"")</f>
        <v>0</v>
      </c>
      <c r="L103" s="133">
        <f>IFERROR(_xlfn.XLOOKUP($A103,'Raw Data'!$G:$G,'Raw Data'!AE:AE),"")</f>
        <v>32.1</v>
      </c>
      <c r="M103" s="133">
        <f>IFERROR(_xlfn.XLOOKUP($A103,'Raw Data'!$G:$G,'Raw Data'!AF:AF),"")</f>
        <v>0</v>
      </c>
      <c r="N103" s="133">
        <f>IFERROR(_xlfn.XLOOKUP($A103,'Raw Data'!$G:$G,'Raw Data'!AG:AG),"")</f>
        <v>0</v>
      </c>
      <c r="O103" s="134">
        <f>IFERROR(1-SUMIF('Plant BD'!$H:$H,$A103,'Plant BD'!$AE:$AE)/($AA103+SUMIF('Plant BD'!$H:$H,$A103,'Plant BD'!$AE:$AE)),"")</f>
        <v>1</v>
      </c>
      <c r="P103" s="134"/>
      <c r="Q103" s="135"/>
      <c r="R103" s="134">
        <f>IFERROR(1-SUMIF('Grid BD'!$H:$H,$A103,'Grid BD'!$AD:$AD)/($AA103+SUMIF('Grid BD'!$H:$H,$A103,'Grid BD'!$AD:$AD)),"")</f>
        <v>1</v>
      </c>
      <c r="T103" s="135"/>
      <c r="U103" s="136">
        <f t="shared" si="5"/>
        <v>0.8208932071938817</v>
      </c>
      <c r="V103" s="136"/>
      <c r="W103" s="137">
        <f t="shared" si="6"/>
        <v>0.11766135969778969</v>
      </c>
      <c r="X103" s="130">
        <f>IFERROR(_xlfn.XLOOKUP($A103,'Raw Data'!$G:$G,'Raw Data'!AI:AI),"")</f>
        <v>22969.8</v>
      </c>
      <c r="Y103" s="130">
        <f>IFERROR(_xlfn.XLOOKUP($A103,'Raw Data'!$G:$G,'Raw Data'!AJ:AJ),"")</f>
        <v>22750</v>
      </c>
      <c r="Z103" s="130">
        <f>IFERROR(_xlfn.XLOOKUP($A103,'Raw Data'!$G:$G,'Raw Data'!AK:AK),"")</f>
        <v>99.999999999965894</v>
      </c>
      <c r="AA103" s="130">
        <f>IFERROR(_xlfn.XLOOKUP($A103,'Raw Data'!$G:$G,'Raw Data'!AL:AL),"")</f>
        <v>22650.000000000033</v>
      </c>
      <c r="AB103" s="130">
        <f>IFERROR(_xlfn.XLOOKUP($A103,'Raw Data'!$G:$G,'Raw Data'!H:H),"")</f>
        <v>8.0208999999999993</v>
      </c>
      <c r="AC103" s="76">
        <f>IFERROR(_xlfn.XLOOKUP($D103,'Modelling New'!$D:$D,'Modelling New'!P:P),"")</f>
        <v>4.0451612903225804</v>
      </c>
      <c r="AD103" s="130">
        <f>IFERROR(_xlfn.XLOOKUP($D103,'Modelling New'!$D:$D,'Modelling New'!$T:$T)*1000,"")</f>
        <v>22929.949138521675</v>
      </c>
      <c r="AE103" s="138">
        <f>IFERROR(_xlfn.XLOOKUP($D103,'Modelling New'!$D:$D,'Modelling New'!O:O),"")</f>
        <v>0.70671473575739119</v>
      </c>
      <c r="AF103" s="137">
        <f>IFERROR(_xlfn.XLOOKUP($D103,'Modelling New'!$D:$D,'Modelling New'!W:W),"")</f>
        <v>0.11911562884943125</v>
      </c>
      <c r="AG103" s="137">
        <f>IFERROR(_xlfn.XLOOKUP($D103,'Modelling New'!$D:$D,'Modelling New'!AE:AE),"")</f>
        <v>0.98040000000000005</v>
      </c>
      <c r="AH103" s="156">
        <f>IFERROR(_xlfn.XLOOKUP($D103,'Modelling New'!$D:$D,'Modelling New'!AF:AF),"")</f>
        <v>0.98</v>
      </c>
      <c r="AN103" s="134"/>
      <c r="AO103" s="137"/>
      <c r="AP103" s="137"/>
      <c r="AQ103" s="137"/>
      <c r="AR103" s="130">
        <f>'Basic Data'!$B$98/1000</f>
        <v>8.0208999999999993</v>
      </c>
    </row>
    <row r="104" spans="1:44" x14ac:dyDescent="0.3">
      <c r="A104" s="129">
        <f t="shared" si="7"/>
        <v>45847</v>
      </c>
      <c r="B104" s="130">
        <f>YEAR(Table13[[#This Row],[Date]])+IF(MONTH(Table13[[#This Row],[Date]])&gt;=4,1,0)</f>
        <v>2026</v>
      </c>
      <c r="C104" s="7">
        <f>YEAR(Table13[[#This Row],[Date]])</f>
        <v>2025</v>
      </c>
      <c r="D104" s="131">
        <f>Table13[[#This Row],[Date]]-DAY(Table13[[#This Row],[Date]])+1</f>
        <v>45839</v>
      </c>
      <c r="E104" s="7">
        <f t="shared" si="4"/>
        <v>31</v>
      </c>
      <c r="F104" s="132">
        <f>IFERROR(_xlfn.XLOOKUP($A104,'Raw Data'!$G:$G,'Raw Data'!$AM:$AM),"")</f>
        <v>12.433333333333334</v>
      </c>
      <c r="G104" s="133">
        <f>IFERROR(_xlfn.XLOOKUP($A104,'Raw Data'!$G:$G,'Raw Data'!$AB:$AB),"")</f>
        <v>0</v>
      </c>
      <c r="H104" s="133"/>
      <c r="I104" s="133">
        <f>IFERROR(_xlfn.XLOOKUP($A104,'Raw Data'!$G:$G,'Raw Data'!$AC:$AC),"")</f>
        <v>3.83</v>
      </c>
      <c r="J104" s="133"/>
      <c r="K104" s="133">
        <f>IFERROR(_xlfn.XLOOKUP($A104,'Raw Data'!$G:$G,'Raw Data'!AD:AD),"")</f>
        <v>0</v>
      </c>
      <c r="L104" s="133">
        <f>IFERROR(_xlfn.XLOOKUP($A104,'Raw Data'!$G:$G,'Raw Data'!AE:AE),"")</f>
        <v>33</v>
      </c>
      <c r="M104" s="133">
        <f>IFERROR(_xlfn.XLOOKUP($A104,'Raw Data'!$G:$G,'Raw Data'!AF:AF),"")</f>
        <v>0</v>
      </c>
      <c r="N104" s="133">
        <f>IFERROR(_xlfn.XLOOKUP($A104,'Raw Data'!$G:$G,'Raw Data'!AG:AG),"")</f>
        <v>0</v>
      </c>
      <c r="O104" s="134">
        <f>IFERROR(1-SUMIF('Plant BD'!$H:$H,$A104,'Plant BD'!$AE:$AE)/($AA104+SUMIF('Plant BD'!$H:$H,$A104,'Plant BD'!$AE:$AE)),"")</f>
        <v>1</v>
      </c>
      <c r="P104" s="134"/>
      <c r="Q104" s="135"/>
      <c r="R104" s="134">
        <f>IFERROR(1-SUMIF('Grid BD'!$H:$H,$A104,'Grid BD'!$AD:$AD)/($AA104+SUMIF('Grid BD'!$H:$H,$A104,'Grid BD'!$AD:$AD)),"")</f>
        <v>1</v>
      </c>
      <c r="T104" s="135"/>
      <c r="U104" s="136">
        <f t="shared" si="5"/>
        <v>0.79752482149541626</v>
      </c>
      <c r="V104" s="136"/>
      <c r="W104" s="137">
        <f t="shared" si="6"/>
        <v>0.12727166943031018</v>
      </c>
      <c r="X104" s="130">
        <f>IFERROR(_xlfn.XLOOKUP($A104,'Raw Data'!$G:$G,'Raw Data'!AI:AI),"")</f>
        <v>24839.300000000003</v>
      </c>
      <c r="Y104" s="130">
        <f>IFERROR(_xlfn.XLOOKUP($A104,'Raw Data'!$G:$G,'Raw Data'!AJ:AJ),"")</f>
        <v>24600.000000005821</v>
      </c>
      <c r="Z104" s="130">
        <f>IFERROR(_xlfn.XLOOKUP($A104,'Raw Data'!$G:$G,'Raw Data'!AK:AK),"")</f>
        <v>100.00000000002274</v>
      </c>
      <c r="AA104" s="130">
        <f>IFERROR(_xlfn.XLOOKUP($A104,'Raw Data'!$G:$G,'Raw Data'!AL:AL),"")</f>
        <v>24500.000000005799</v>
      </c>
      <c r="AB104" s="130">
        <f>IFERROR(_xlfn.XLOOKUP($A104,'Raw Data'!$G:$G,'Raw Data'!H:H),"")</f>
        <v>8.0208999999999993</v>
      </c>
      <c r="AC104" s="76">
        <f>IFERROR(_xlfn.XLOOKUP($D104,'Modelling New'!$D:$D,'Modelling New'!P:P),"")</f>
        <v>4.0451612903225804</v>
      </c>
      <c r="AD104" s="130">
        <f>IFERROR(_xlfn.XLOOKUP($D104,'Modelling New'!$D:$D,'Modelling New'!$T:$T)*1000,"")</f>
        <v>22929.949138521675</v>
      </c>
      <c r="AE104" s="138">
        <f>IFERROR(_xlfn.XLOOKUP($D104,'Modelling New'!$D:$D,'Modelling New'!O:O),"")</f>
        <v>0.70671473575739119</v>
      </c>
      <c r="AF104" s="137">
        <f>IFERROR(_xlfn.XLOOKUP($D104,'Modelling New'!$D:$D,'Modelling New'!W:W),"")</f>
        <v>0.11911562884943125</v>
      </c>
      <c r="AG104" s="137">
        <f>IFERROR(_xlfn.XLOOKUP($D104,'Modelling New'!$D:$D,'Modelling New'!AE:AE),"")</f>
        <v>0.98040000000000005</v>
      </c>
      <c r="AH104" s="156">
        <f>IFERROR(_xlfn.XLOOKUP($D104,'Modelling New'!$D:$D,'Modelling New'!AF:AF),"")</f>
        <v>0.98</v>
      </c>
      <c r="AN104" s="134"/>
      <c r="AO104" s="137"/>
      <c r="AP104" s="137"/>
      <c r="AQ104" s="137"/>
      <c r="AR104" s="130">
        <f>'Basic Data'!$B$98/1000</f>
        <v>8.0208999999999993</v>
      </c>
    </row>
    <row r="105" spans="1:44" x14ac:dyDescent="0.3">
      <c r="A105" s="129">
        <f t="shared" si="7"/>
        <v>45848</v>
      </c>
      <c r="B105" s="130">
        <f>YEAR(Table13[[#This Row],[Date]])+IF(MONTH(Table13[[#This Row],[Date]])&gt;=4,1,0)</f>
        <v>2026</v>
      </c>
      <c r="C105" s="7">
        <f>YEAR(Table13[[#This Row],[Date]])</f>
        <v>2025</v>
      </c>
      <c r="D105" s="131">
        <f>Table13[[#This Row],[Date]]-DAY(Table13[[#This Row],[Date]])+1</f>
        <v>45839</v>
      </c>
      <c r="E105" s="7">
        <f t="shared" si="4"/>
        <v>31</v>
      </c>
      <c r="F105" s="132">
        <f>IFERROR(_xlfn.XLOOKUP($A105,'Raw Data'!$G:$G,'Raw Data'!$AM:$AM),"")</f>
        <v>12.5</v>
      </c>
      <c r="G105" s="133">
        <f>IFERROR(_xlfn.XLOOKUP($A105,'Raw Data'!$G:$G,'Raw Data'!$AB:$AB),"")</f>
        <v>0</v>
      </c>
      <c r="H105" s="133"/>
      <c r="I105" s="133">
        <f>IFERROR(_xlfn.XLOOKUP($A105,'Raw Data'!$G:$G,'Raw Data'!$AC:$AC),"")</f>
        <v>5.12</v>
      </c>
      <c r="J105" s="133"/>
      <c r="K105" s="133">
        <f>IFERROR(_xlfn.XLOOKUP($A105,'Raw Data'!$G:$G,'Raw Data'!AD:AD),"")</f>
        <v>0</v>
      </c>
      <c r="L105" s="133">
        <f>IFERROR(_xlfn.XLOOKUP($A105,'Raw Data'!$G:$G,'Raw Data'!AE:AE),"")</f>
        <v>36.53</v>
      </c>
      <c r="M105" s="133">
        <f>IFERROR(_xlfn.XLOOKUP($A105,'Raw Data'!$G:$G,'Raw Data'!AF:AF),"")</f>
        <v>0</v>
      </c>
      <c r="N105" s="133">
        <f>IFERROR(_xlfn.XLOOKUP($A105,'Raw Data'!$G:$G,'Raw Data'!AG:AG),"")</f>
        <v>0</v>
      </c>
      <c r="O105" s="134">
        <f>IFERROR(1-SUMIF('Plant BD'!$H:$H,$A105,'Plant BD'!$AE:$AE)/($AA105+SUMIF('Plant BD'!$H:$H,$A105,'Plant BD'!$AE:$AE)),"")</f>
        <v>1</v>
      </c>
      <c r="P105" s="134"/>
      <c r="Q105" s="135"/>
      <c r="R105" s="134">
        <f>IFERROR(1-SUMIF('Grid BD'!$H:$H,$A105,'Grid BD'!$AD:$AD)/($AA105+SUMIF('Grid BD'!$H:$H,$A105,'Grid BD'!$AD:$AD)),"")</f>
        <v>1</v>
      </c>
      <c r="T105" s="135"/>
      <c r="U105" s="136">
        <f t="shared" si="5"/>
        <v>0.79625961550456625</v>
      </c>
      <c r="V105" s="136"/>
      <c r="W105" s="137">
        <f t="shared" si="6"/>
        <v>0.16986871797430744</v>
      </c>
      <c r="X105" s="130">
        <f>IFERROR(_xlfn.XLOOKUP($A105,'Raw Data'!$G:$G,'Raw Data'!AI:AI),"")</f>
        <v>33102</v>
      </c>
      <c r="Y105" s="130">
        <f>IFERROR(_xlfn.XLOOKUP($A105,'Raw Data'!$G:$G,'Raw Data'!AJ:AJ),"")</f>
        <v>32800.00000000291</v>
      </c>
      <c r="Z105" s="130">
        <f>IFERROR(_xlfn.XLOOKUP($A105,'Raw Data'!$G:$G,'Raw Data'!AK:AK),"")</f>
        <v>99.999999999965894</v>
      </c>
      <c r="AA105" s="130">
        <f>IFERROR(_xlfn.XLOOKUP($A105,'Raw Data'!$G:$G,'Raw Data'!AL:AL),"")</f>
        <v>32700.000000002943</v>
      </c>
      <c r="AB105" s="130">
        <f>IFERROR(_xlfn.XLOOKUP($A105,'Raw Data'!$G:$G,'Raw Data'!H:H),"")</f>
        <v>8.0208999999999993</v>
      </c>
      <c r="AC105" s="76">
        <f>IFERROR(_xlfn.XLOOKUP($D105,'Modelling New'!$D:$D,'Modelling New'!P:P),"")</f>
        <v>4.0451612903225804</v>
      </c>
      <c r="AD105" s="130">
        <f>IFERROR(_xlfn.XLOOKUP($D105,'Modelling New'!$D:$D,'Modelling New'!$T:$T)*1000,"")</f>
        <v>22929.949138521675</v>
      </c>
      <c r="AE105" s="138">
        <f>IFERROR(_xlfn.XLOOKUP($D105,'Modelling New'!$D:$D,'Modelling New'!O:O),"")</f>
        <v>0.70671473575739119</v>
      </c>
      <c r="AF105" s="137">
        <f>IFERROR(_xlfn.XLOOKUP($D105,'Modelling New'!$D:$D,'Modelling New'!W:W),"")</f>
        <v>0.11911562884943125</v>
      </c>
      <c r="AG105" s="137">
        <f>IFERROR(_xlfn.XLOOKUP($D105,'Modelling New'!$D:$D,'Modelling New'!AE:AE),"")</f>
        <v>0.98040000000000005</v>
      </c>
      <c r="AH105" s="156">
        <f>IFERROR(_xlfn.XLOOKUP($D105,'Modelling New'!$D:$D,'Modelling New'!AF:AF),"")</f>
        <v>0.98</v>
      </c>
      <c r="AN105" s="134"/>
      <c r="AO105" s="137"/>
      <c r="AP105" s="137"/>
      <c r="AQ105" s="137"/>
      <c r="AR105" s="130">
        <f>'Basic Data'!$B$98/1000</f>
        <v>8.0208999999999993</v>
      </c>
    </row>
    <row r="106" spans="1:44" x14ac:dyDescent="0.3">
      <c r="A106" s="129">
        <f t="shared" si="7"/>
        <v>45849</v>
      </c>
      <c r="B106" s="130">
        <f>YEAR(Table13[[#This Row],[Date]])+IF(MONTH(Table13[[#This Row],[Date]])&gt;=4,1,0)</f>
        <v>2026</v>
      </c>
      <c r="C106" s="7">
        <f>YEAR(Table13[[#This Row],[Date]])</f>
        <v>2025</v>
      </c>
      <c r="D106" s="131">
        <f>Table13[[#This Row],[Date]]-DAY(Table13[[#This Row],[Date]])+1</f>
        <v>45839</v>
      </c>
      <c r="E106" s="7">
        <f t="shared" si="4"/>
        <v>31</v>
      </c>
      <c r="F106" s="132">
        <f>IFERROR(_xlfn.XLOOKUP($A106,'Raw Data'!$G:$G,'Raw Data'!$AM:$AM),"")</f>
        <v>12.600000000000001</v>
      </c>
      <c r="G106" s="133">
        <f>IFERROR(_xlfn.XLOOKUP($A106,'Raw Data'!$G:$G,'Raw Data'!$AB:$AB),"")</f>
        <v>0</v>
      </c>
      <c r="H106" s="133"/>
      <c r="I106" s="133">
        <f>IFERROR(_xlfn.XLOOKUP($A106,'Raw Data'!$G:$G,'Raw Data'!$AC:$AC),"")</f>
        <v>5.42</v>
      </c>
      <c r="J106" s="133"/>
      <c r="K106" s="133">
        <f>IFERROR(_xlfn.XLOOKUP($A106,'Raw Data'!$G:$G,'Raw Data'!AD:AD),"")</f>
        <v>0</v>
      </c>
      <c r="L106" s="133">
        <f>IFERROR(_xlfn.XLOOKUP($A106,'Raw Data'!$G:$G,'Raw Data'!AE:AE),"")</f>
        <v>36.53</v>
      </c>
      <c r="M106" s="133">
        <f>IFERROR(_xlfn.XLOOKUP($A106,'Raw Data'!$G:$G,'Raw Data'!AF:AF),"")</f>
        <v>0</v>
      </c>
      <c r="N106" s="133">
        <f>IFERROR(_xlfn.XLOOKUP($A106,'Raw Data'!$G:$G,'Raw Data'!AG:AG),"")</f>
        <v>0</v>
      </c>
      <c r="O106" s="134">
        <f>IFERROR(1-SUMIF('Plant BD'!$H:$H,$A106,'Plant BD'!$AE:$AE)/($AA106+SUMIF('Plant BD'!$H:$H,$A106,'Plant BD'!$AE:$AE)),"")</f>
        <v>1</v>
      </c>
      <c r="P106" s="134"/>
      <c r="Q106" s="135"/>
      <c r="R106" s="134">
        <f>IFERROR(1-SUMIF('Grid BD'!$H:$H,$A106,'Grid BD'!$AD:$AD)/($AA106+SUMIF('Grid BD'!$H:$H,$A106,'Grid BD'!$AD:$AD)),"")</f>
        <v>0.96954923290694617</v>
      </c>
      <c r="T106" s="135"/>
      <c r="U106" s="136">
        <f t="shared" si="5"/>
        <v>0.76368752317201249</v>
      </c>
      <c r="V106" s="136"/>
      <c r="W106" s="137">
        <f t="shared" si="6"/>
        <v>0.17246609898301279</v>
      </c>
      <c r="X106" s="130">
        <f>IFERROR(_xlfn.XLOOKUP($A106,'Raw Data'!$G:$G,'Raw Data'!AI:AI),"")</f>
        <v>33591.699999999997</v>
      </c>
      <c r="Y106" s="130">
        <f>IFERROR(_xlfn.XLOOKUP($A106,'Raw Data'!$G:$G,'Raw Data'!AJ:AJ),"")</f>
        <v>33299.999999988358</v>
      </c>
      <c r="Z106" s="130">
        <f>IFERROR(_xlfn.XLOOKUP($A106,'Raw Data'!$G:$G,'Raw Data'!AK:AK),"")</f>
        <v>100.00000000002274</v>
      </c>
      <c r="AA106" s="130">
        <f>IFERROR(_xlfn.XLOOKUP($A106,'Raw Data'!$G:$G,'Raw Data'!AL:AL),"")</f>
        <v>33199.999999988337</v>
      </c>
      <c r="AB106" s="130">
        <f>IFERROR(_xlfn.XLOOKUP($A106,'Raw Data'!$G:$G,'Raw Data'!H:H),"")</f>
        <v>8.0208999999999993</v>
      </c>
      <c r="AC106" s="76">
        <f>IFERROR(_xlfn.XLOOKUP($D106,'Modelling New'!$D:$D,'Modelling New'!P:P),"")</f>
        <v>4.0451612903225804</v>
      </c>
      <c r="AD106" s="130">
        <f>IFERROR(_xlfn.XLOOKUP($D106,'Modelling New'!$D:$D,'Modelling New'!$T:$T)*1000,"")</f>
        <v>22929.949138521675</v>
      </c>
      <c r="AE106" s="138">
        <f>IFERROR(_xlfn.XLOOKUP($D106,'Modelling New'!$D:$D,'Modelling New'!O:O),"")</f>
        <v>0.70671473575739119</v>
      </c>
      <c r="AF106" s="137">
        <f>IFERROR(_xlfn.XLOOKUP($D106,'Modelling New'!$D:$D,'Modelling New'!W:W),"")</f>
        <v>0.11911562884943125</v>
      </c>
      <c r="AG106" s="137">
        <f>IFERROR(_xlfn.XLOOKUP($D106,'Modelling New'!$D:$D,'Modelling New'!AE:AE),"")</f>
        <v>0.98040000000000005</v>
      </c>
      <c r="AH106" s="156">
        <f>IFERROR(_xlfn.XLOOKUP($D106,'Modelling New'!$D:$D,'Modelling New'!AF:AF),"")</f>
        <v>0.98</v>
      </c>
      <c r="AN106" s="134"/>
      <c r="AO106" s="137"/>
      <c r="AP106" s="137"/>
      <c r="AQ106" s="137"/>
      <c r="AR106" s="130">
        <f>'Basic Data'!$B$98/1000</f>
        <v>8.0208999999999993</v>
      </c>
    </row>
    <row r="107" spans="1:44" x14ac:dyDescent="0.3">
      <c r="A107" s="129">
        <f t="shared" si="7"/>
        <v>45850</v>
      </c>
      <c r="B107" s="130">
        <f>YEAR(Table13[[#This Row],[Date]])+IF(MONTH(Table13[[#This Row],[Date]])&gt;=4,1,0)</f>
        <v>2026</v>
      </c>
      <c r="C107" s="7">
        <f>YEAR(Table13[[#This Row],[Date]])</f>
        <v>2025</v>
      </c>
      <c r="D107" s="131">
        <f>Table13[[#This Row],[Date]]-DAY(Table13[[#This Row],[Date]])+1</f>
        <v>45839</v>
      </c>
      <c r="E107" s="7">
        <f t="shared" si="4"/>
        <v>31</v>
      </c>
      <c r="F107" s="132">
        <f>IFERROR(_xlfn.XLOOKUP($A107,'Raw Data'!$G:$G,'Raw Data'!$AM:$AM),"")</f>
        <v>12.65</v>
      </c>
      <c r="G107" s="133">
        <f>IFERROR(_xlfn.XLOOKUP($A107,'Raw Data'!$G:$G,'Raw Data'!$AB:$AB),"")</f>
        <v>0</v>
      </c>
      <c r="H107" s="133"/>
      <c r="I107" s="133">
        <f>IFERROR(_xlfn.XLOOKUP($A107,'Raw Data'!$G:$G,'Raw Data'!$AC:$AC),"")</f>
        <v>5.2</v>
      </c>
      <c r="J107" s="133"/>
      <c r="K107" s="133">
        <f>IFERROR(_xlfn.XLOOKUP($A107,'Raw Data'!$G:$G,'Raw Data'!AD:AD),"")</f>
        <v>0</v>
      </c>
      <c r="L107" s="133">
        <f>IFERROR(_xlfn.XLOOKUP($A107,'Raw Data'!$G:$G,'Raw Data'!AE:AE),"")</f>
        <v>37.07</v>
      </c>
      <c r="M107" s="133">
        <f>IFERROR(_xlfn.XLOOKUP($A107,'Raw Data'!$G:$G,'Raw Data'!AF:AF),"")</f>
        <v>0</v>
      </c>
      <c r="N107" s="133">
        <f>IFERROR(_xlfn.XLOOKUP($A107,'Raw Data'!$G:$G,'Raw Data'!AG:AG),"")</f>
        <v>0</v>
      </c>
      <c r="O107" s="134">
        <f>IFERROR(1-SUMIF('Plant BD'!$H:$H,$A107,'Plant BD'!$AE:$AE)/($AA107+SUMIF('Plant BD'!$H:$H,$A107,'Plant BD'!$AE:$AE)),"")</f>
        <v>1</v>
      </c>
      <c r="P107" s="134"/>
      <c r="Q107" s="135"/>
      <c r="R107" s="134">
        <f>IFERROR(1-SUMIF('Grid BD'!$H:$H,$A107,'Grid BD'!$AD:$AD)/($AA107+SUMIF('Grid BD'!$H:$H,$A107,'Grid BD'!$AD:$AD)),"")</f>
        <v>0.93696821386717688</v>
      </c>
      <c r="T107" s="135"/>
      <c r="U107" s="136">
        <f t="shared" si="5"/>
        <v>0.7432505655898437</v>
      </c>
      <c r="V107" s="136"/>
      <c r="W107" s="137">
        <f t="shared" si="6"/>
        <v>0.1610376225444661</v>
      </c>
      <c r="X107" s="130">
        <f>IFERROR(_xlfn.XLOOKUP($A107,'Raw Data'!$G:$G,'Raw Data'!AI:AI),"")</f>
        <v>31407.5</v>
      </c>
      <c r="Y107" s="130">
        <f>IFERROR(_xlfn.XLOOKUP($A107,'Raw Data'!$G:$G,'Raw Data'!AJ:AJ),"")</f>
        <v>31100.000000005821</v>
      </c>
      <c r="Z107" s="130">
        <f>IFERROR(_xlfn.XLOOKUP($A107,'Raw Data'!$G:$G,'Raw Data'!AK:AK),"")</f>
        <v>100.00000000002274</v>
      </c>
      <c r="AA107" s="130">
        <f>IFERROR(_xlfn.XLOOKUP($A107,'Raw Data'!$G:$G,'Raw Data'!AL:AL),"")</f>
        <v>31000.000000005799</v>
      </c>
      <c r="AB107" s="130">
        <f>IFERROR(_xlfn.XLOOKUP($A107,'Raw Data'!$G:$G,'Raw Data'!H:H),"")</f>
        <v>8.0208999999999993</v>
      </c>
      <c r="AC107" s="76">
        <f>IFERROR(_xlfn.XLOOKUP($D107,'Modelling New'!$D:$D,'Modelling New'!P:P),"")</f>
        <v>4.0451612903225804</v>
      </c>
      <c r="AD107" s="130">
        <f>IFERROR(_xlfn.XLOOKUP($D107,'Modelling New'!$D:$D,'Modelling New'!$T:$T)*1000,"")</f>
        <v>22929.949138521675</v>
      </c>
      <c r="AE107" s="138">
        <f>IFERROR(_xlfn.XLOOKUP($D107,'Modelling New'!$D:$D,'Modelling New'!O:O),"")</f>
        <v>0.70671473575739119</v>
      </c>
      <c r="AF107" s="137">
        <f>IFERROR(_xlfn.XLOOKUP($D107,'Modelling New'!$D:$D,'Modelling New'!W:W),"")</f>
        <v>0.11911562884943125</v>
      </c>
      <c r="AG107" s="137">
        <f>IFERROR(_xlfn.XLOOKUP($D107,'Modelling New'!$D:$D,'Modelling New'!AE:AE),"")</f>
        <v>0.98040000000000005</v>
      </c>
      <c r="AH107" s="156">
        <f>IFERROR(_xlfn.XLOOKUP($D107,'Modelling New'!$D:$D,'Modelling New'!AF:AF),"")</f>
        <v>0.98</v>
      </c>
      <c r="AN107" s="134"/>
      <c r="AO107" s="137"/>
      <c r="AP107" s="137"/>
      <c r="AQ107" s="137"/>
      <c r="AR107" s="130">
        <f>'Basic Data'!$B$98/1000</f>
        <v>8.0208999999999993</v>
      </c>
    </row>
    <row r="108" spans="1:44" x14ac:dyDescent="0.3">
      <c r="A108" s="129">
        <f t="shared" si="7"/>
        <v>45851</v>
      </c>
      <c r="B108" s="130">
        <f>YEAR(Table13[[#This Row],[Date]])+IF(MONTH(Table13[[#This Row],[Date]])&gt;=4,1,0)</f>
        <v>2026</v>
      </c>
      <c r="C108" s="7">
        <f>YEAR(Table13[[#This Row],[Date]])</f>
        <v>2025</v>
      </c>
      <c r="D108" s="131">
        <f>Table13[[#This Row],[Date]]-DAY(Table13[[#This Row],[Date]])+1</f>
        <v>45839</v>
      </c>
      <c r="E108" s="7">
        <f t="shared" si="4"/>
        <v>31</v>
      </c>
      <c r="F108" s="132">
        <f>IFERROR(_xlfn.XLOOKUP($A108,'Raw Data'!$G:$G,'Raw Data'!$AM:$AM),"")</f>
        <v>12.85</v>
      </c>
      <c r="G108" s="133">
        <f>IFERROR(_xlfn.XLOOKUP($A108,'Raw Data'!$G:$G,'Raw Data'!$AB:$AB),"")</f>
        <v>0</v>
      </c>
      <c r="H108" s="133"/>
      <c r="I108" s="133">
        <f>IFERROR(_xlfn.XLOOKUP($A108,'Raw Data'!$G:$G,'Raw Data'!$AC:$AC),"")</f>
        <v>5.12</v>
      </c>
      <c r="J108" s="133"/>
      <c r="K108" s="133">
        <f>IFERROR(_xlfn.XLOOKUP($A108,'Raw Data'!$G:$G,'Raw Data'!AD:AD),"")</f>
        <v>0</v>
      </c>
      <c r="L108" s="133">
        <f>IFERROR(_xlfn.XLOOKUP($A108,'Raw Data'!$G:$G,'Raw Data'!AE:AE),"")</f>
        <v>36.71</v>
      </c>
      <c r="M108" s="133">
        <f>IFERROR(_xlfn.XLOOKUP($A108,'Raw Data'!$G:$G,'Raw Data'!AF:AF),"")</f>
        <v>0</v>
      </c>
      <c r="N108" s="133">
        <f>IFERROR(_xlfn.XLOOKUP($A108,'Raw Data'!$G:$G,'Raw Data'!AG:AG),"")</f>
        <v>0</v>
      </c>
      <c r="O108" s="134">
        <f>IFERROR(1-SUMIF('Plant BD'!$H:$H,$A108,'Plant BD'!$AE:$AE)/($AA108+SUMIF('Plant BD'!$H:$H,$A108,'Plant BD'!$AE:$AE)),"")</f>
        <v>1</v>
      </c>
      <c r="P108" s="134"/>
      <c r="Q108" s="135"/>
      <c r="R108" s="134">
        <f>IFERROR(1-SUMIF('Grid BD'!$H:$H,$A108,'Grid BD'!$AD:$AD)/($AA108+SUMIF('Grid BD'!$H:$H,$A108,'Grid BD'!$AD:$AD)),"")</f>
        <v>1</v>
      </c>
      <c r="T108" s="135"/>
      <c r="U108" s="136">
        <f t="shared" si="5"/>
        <v>0.79504209315662921</v>
      </c>
      <c r="V108" s="136"/>
      <c r="W108" s="137">
        <f t="shared" si="6"/>
        <v>0.1696089798734142</v>
      </c>
      <c r="X108" s="130">
        <f>IFERROR(_xlfn.XLOOKUP($A108,'Raw Data'!$G:$G,'Raw Data'!AI:AI),"")</f>
        <v>33013.699999999997</v>
      </c>
      <c r="Y108" s="130">
        <f>IFERROR(_xlfn.XLOOKUP($A108,'Raw Data'!$G:$G,'Raw Data'!AJ:AJ),"")</f>
        <v>32750</v>
      </c>
      <c r="Z108" s="130">
        <f>IFERROR(_xlfn.XLOOKUP($A108,'Raw Data'!$G:$G,'Raw Data'!AK:AK),"")</f>
        <v>99.999999999965894</v>
      </c>
      <c r="AA108" s="130">
        <f>IFERROR(_xlfn.XLOOKUP($A108,'Raw Data'!$G:$G,'Raw Data'!AL:AL),"")</f>
        <v>32650.000000000033</v>
      </c>
      <c r="AB108" s="130">
        <f>IFERROR(_xlfn.XLOOKUP($A108,'Raw Data'!$G:$G,'Raw Data'!H:H),"")</f>
        <v>8.0208999999999993</v>
      </c>
      <c r="AC108" s="76">
        <f>IFERROR(_xlfn.XLOOKUP($D108,'Modelling New'!$D:$D,'Modelling New'!P:P),"")</f>
        <v>4.0451612903225804</v>
      </c>
      <c r="AD108" s="130">
        <f>IFERROR(_xlfn.XLOOKUP($D108,'Modelling New'!$D:$D,'Modelling New'!$T:$T)*1000,"")</f>
        <v>22929.949138521675</v>
      </c>
      <c r="AE108" s="138">
        <f>IFERROR(_xlfn.XLOOKUP($D108,'Modelling New'!$D:$D,'Modelling New'!O:O),"")</f>
        <v>0.70671473575739119</v>
      </c>
      <c r="AF108" s="137">
        <f>IFERROR(_xlfn.XLOOKUP($D108,'Modelling New'!$D:$D,'Modelling New'!W:W),"")</f>
        <v>0.11911562884943125</v>
      </c>
      <c r="AG108" s="137">
        <f>IFERROR(_xlfn.XLOOKUP($D108,'Modelling New'!$D:$D,'Modelling New'!AE:AE),"")</f>
        <v>0.98040000000000005</v>
      </c>
      <c r="AH108" s="156">
        <f>IFERROR(_xlfn.XLOOKUP($D108,'Modelling New'!$D:$D,'Modelling New'!AF:AF),"")</f>
        <v>0.98</v>
      </c>
      <c r="AN108" s="134"/>
      <c r="AO108" s="137"/>
      <c r="AP108" s="137"/>
      <c r="AQ108" s="137"/>
      <c r="AR108" s="130">
        <f>'Basic Data'!$B$98/1000</f>
        <v>8.0208999999999993</v>
      </c>
    </row>
    <row r="109" spans="1:44" x14ac:dyDescent="0.3">
      <c r="A109" s="129">
        <f t="shared" si="7"/>
        <v>45852</v>
      </c>
      <c r="B109" s="130">
        <f>YEAR(Table13[[#This Row],[Date]])+IF(MONTH(Table13[[#This Row],[Date]])&gt;=4,1,0)</f>
        <v>2026</v>
      </c>
      <c r="C109" s="7">
        <f>YEAR(Table13[[#This Row],[Date]])</f>
        <v>2025</v>
      </c>
      <c r="D109" s="131">
        <f>Table13[[#This Row],[Date]]-DAY(Table13[[#This Row],[Date]])+1</f>
        <v>45839</v>
      </c>
      <c r="E109" s="7">
        <f t="shared" si="4"/>
        <v>31</v>
      </c>
      <c r="F109" s="132">
        <f>IFERROR(_xlfn.XLOOKUP($A109,'Raw Data'!$G:$G,'Raw Data'!$AM:$AM),"")</f>
        <v>12.75</v>
      </c>
      <c r="G109" s="133">
        <f>IFERROR(_xlfn.XLOOKUP($A109,'Raw Data'!$G:$G,'Raw Data'!$AB:$AB),"")</f>
        <v>0</v>
      </c>
      <c r="H109" s="133"/>
      <c r="I109" s="133">
        <f>IFERROR(_xlfn.XLOOKUP($A109,'Raw Data'!$G:$G,'Raw Data'!$AC:$AC),"")</f>
        <v>5.79</v>
      </c>
      <c r="J109" s="133"/>
      <c r="K109" s="133">
        <f>IFERROR(_xlfn.XLOOKUP($A109,'Raw Data'!$G:$G,'Raw Data'!AD:AD),"")</f>
        <v>0</v>
      </c>
      <c r="L109" s="133">
        <f>IFERROR(_xlfn.XLOOKUP($A109,'Raw Data'!$G:$G,'Raw Data'!AE:AE),"")</f>
        <v>37.83</v>
      </c>
      <c r="M109" s="133">
        <f>IFERROR(_xlfn.XLOOKUP($A109,'Raw Data'!$G:$G,'Raw Data'!AF:AF),"")</f>
        <v>0</v>
      </c>
      <c r="N109" s="133">
        <f>IFERROR(_xlfn.XLOOKUP($A109,'Raw Data'!$G:$G,'Raw Data'!AG:AG),"")</f>
        <v>0</v>
      </c>
      <c r="O109" s="134">
        <f>IFERROR(1-SUMIF('Plant BD'!$H:$H,$A109,'Plant BD'!$AE:$AE)/($AA109+SUMIF('Plant BD'!$H:$H,$A109,'Plant BD'!$AE:$AE)),"")</f>
        <v>1</v>
      </c>
      <c r="P109" s="134"/>
      <c r="Q109" s="135"/>
      <c r="R109" s="134">
        <f>IFERROR(1-SUMIF('Grid BD'!$H:$H,$A109,'Grid BD'!$AD:$AD)/($AA109+SUMIF('Grid BD'!$H:$H,$A109,'Grid BD'!$AD:$AD)),"")</f>
        <v>1</v>
      </c>
      <c r="T109" s="135"/>
      <c r="U109" s="136">
        <f t="shared" si="5"/>
        <v>0.77948346128818968</v>
      </c>
      <c r="V109" s="136"/>
      <c r="W109" s="137">
        <f t="shared" si="6"/>
        <v>0.18805038503577573</v>
      </c>
      <c r="X109" s="130">
        <f>IFERROR(_xlfn.XLOOKUP($A109,'Raw Data'!$G:$G,'Raw Data'!AI:AI),"")</f>
        <v>36643.800000000003</v>
      </c>
      <c r="Y109" s="130">
        <f>IFERROR(_xlfn.XLOOKUP($A109,'Raw Data'!$G:$G,'Raw Data'!AJ:AJ),"")</f>
        <v>36300.00000000291</v>
      </c>
      <c r="Z109" s="130">
        <f>IFERROR(_xlfn.XLOOKUP($A109,'Raw Data'!$G:$G,'Raw Data'!AK:AK),"")</f>
        <v>100.00000000002274</v>
      </c>
      <c r="AA109" s="130">
        <f>IFERROR(_xlfn.XLOOKUP($A109,'Raw Data'!$G:$G,'Raw Data'!AL:AL),"")</f>
        <v>36200.000000002889</v>
      </c>
      <c r="AB109" s="130">
        <f>IFERROR(_xlfn.XLOOKUP($A109,'Raw Data'!$G:$G,'Raw Data'!H:H),"")</f>
        <v>8.0208999999999993</v>
      </c>
      <c r="AC109" s="76">
        <f>IFERROR(_xlfn.XLOOKUP($D109,'Modelling New'!$D:$D,'Modelling New'!P:P),"")</f>
        <v>4.0451612903225804</v>
      </c>
      <c r="AD109" s="130">
        <f>IFERROR(_xlfn.XLOOKUP($D109,'Modelling New'!$D:$D,'Modelling New'!$T:$T)*1000,"")</f>
        <v>22929.949138521675</v>
      </c>
      <c r="AE109" s="138">
        <f>IFERROR(_xlfn.XLOOKUP($D109,'Modelling New'!$D:$D,'Modelling New'!O:O),"")</f>
        <v>0.70671473575739119</v>
      </c>
      <c r="AF109" s="137">
        <f>IFERROR(_xlfn.XLOOKUP($D109,'Modelling New'!$D:$D,'Modelling New'!W:W),"")</f>
        <v>0.11911562884943125</v>
      </c>
      <c r="AG109" s="137">
        <f>IFERROR(_xlfn.XLOOKUP($D109,'Modelling New'!$D:$D,'Modelling New'!AE:AE),"")</f>
        <v>0.98040000000000005</v>
      </c>
      <c r="AH109" s="156">
        <f>IFERROR(_xlfn.XLOOKUP($D109,'Modelling New'!$D:$D,'Modelling New'!AF:AF),"")</f>
        <v>0.98</v>
      </c>
      <c r="AN109" s="134"/>
      <c r="AO109" s="137"/>
      <c r="AP109" s="137"/>
      <c r="AQ109" s="137"/>
      <c r="AR109" s="130">
        <f>'Basic Data'!$B$98/1000</f>
        <v>8.0208999999999993</v>
      </c>
    </row>
    <row r="110" spans="1:44" x14ac:dyDescent="0.3">
      <c r="A110" s="129">
        <f t="shared" si="7"/>
        <v>45853</v>
      </c>
      <c r="B110" s="130">
        <f>YEAR(Table13[[#This Row],[Date]])+IF(MONTH(Table13[[#This Row],[Date]])&gt;=4,1,0)</f>
        <v>2026</v>
      </c>
      <c r="C110" s="7">
        <f>YEAR(Table13[[#This Row],[Date]])</f>
        <v>2025</v>
      </c>
      <c r="D110" s="131">
        <f>Table13[[#This Row],[Date]]-DAY(Table13[[#This Row],[Date]])+1</f>
        <v>45839</v>
      </c>
      <c r="E110" s="7">
        <f t="shared" si="4"/>
        <v>31</v>
      </c>
      <c r="F110" s="132">
        <f>IFERROR(_xlfn.XLOOKUP($A110,'Raw Data'!$G:$G,'Raw Data'!$AM:$AM),"")</f>
        <v>12.75</v>
      </c>
      <c r="G110" s="133">
        <f>IFERROR(_xlfn.XLOOKUP($A110,'Raw Data'!$G:$G,'Raw Data'!$AB:$AB),"")</f>
        <v>0</v>
      </c>
      <c r="H110" s="133"/>
      <c r="I110" s="133">
        <f>IFERROR(_xlfn.XLOOKUP($A110,'Raw Data'!$G:$G,'Raw Data'!$AC:$AC),"")</f>
        <v>4.25</v>
      </c>
      <c r="J110" s="133"/>
      <c r="K110" s="133">
        <f>IFERROR(_xlfn.XLOOKUP($A110,'Raw Data'!$G:$G,'Raw Data'!AD:AD),"")</f>
        <v>0</v>
      </c>
      <c r="L110" s="133">
        <f>IFERROR(_xlfn.XLOOKUP($A110,'Raw Data'!$G:$G,'Raw Data'!AE:AE),"")</f>
        <v>35.26</v>
      </c>
      <c r="M110" s="133">
        <f>IFERROR(_xlfn.XLOOKUP($A110,'Raw Data'!$G:$G,'Raw Data'!AF:AF),"")</f>
        <v>0</v>
      </c>
      <c r="N110" s="133">
        <f>IFERROR(_xlfn.XLOOKUP($A110,'Raw Data'!$G:$G,'Raw Data'!AG:AG),"")</f>
        <v>0</v>
      </c>
      <c r="O110" s="134">
        <f>IFERROR(1-SUMIF('Plant BD'!$H:$H,$A110,'Plant BD'!$AE:$AE)/($AA110+SUMIF('Plant BD'!$H:$H,$A110,'Plant BD'!$AE:$AE)),"")</f>
        <v>1</v>
      </c>
      <c r="P110" s="134"/>
      <c r="Q110" s="135"/>
      <c r="R110" s="134">
        <f>IFERROR(1-SUMIF('Grid BD'!$H:$H,$A110,'Grid BD'!$AD:$AD)/($AA110+SUMIF('Grid BD'!$H:$H,$A110,'Grid BD'!$AD:$AD)),"")</f>
        <v>1</v>
      </c>
      <c r="T110" s="135"/>
      <c r="U110" s="136">
        <f t="shared" si="5"/>
        <v>0.82578381625063446</v>
      </c>
      <c r="V110" s="136"/>
      <c r="W110" s="137">
        <f t="shared" si="6"/>
        <v>0.14623255079438319</v>
      </c>
      <c r="X110" s="130">
        <f>IFERROR(_xlfn.XLOOKUP($A110,'Raw Data'!$G:$G,'Raw Data'!AI:AI),"")</f>
        <v>28512.899999999998</v>
      </c>
      <c r="Y110" s="130">
        <f>IFERROR(_xlfn.XLOOKUP($A110,'Raw Data'!$G:$G,'Raw Data'!AJ:AJ),"")</f>
        <v>28250</v>
      </c>
      <c r="Z110" s="130">
        <f>IFERROR(_xlfn.XLOOKUP($A110,'Raw Data'!$G:$G,'Raw Data'!AK:AK),"")</f>
        <v>99.999999999965894</v>
      </c>
      <c r="AA110" s="130">
        <f>IFERROR(_xlfn.XLOOKUP($A110,'Raw Data'!$G:$G,'Raw Data'!AL:AL),"")</f>
        <v>28150.000000000033</v>
      </c>
      <c r="AB110" s="130">
        <f>IFERROR(_xlfn.XLOOKUP($A110,'Raw Data'!$G:$G,'Raw Data'!H:H),"")</f>
        <v>8.0208999999999993</v>
      </c>
      <c r="AC110" s="76">
        <f>IFERROR(_xlfn.XLOOKUP($D110,'Modelling New'!$D:$D,'Modelling New'!P:P),"")</f>
        <v>4.0451612903225804</v>
      </c>
      <c r="AD110" s="130">
        <f>IFERROR(_xlfn.XLOOKUP($D110,'Modelling New'!$D:$D,'Modelling New'!$T:$T)*1000,"")</f>
        <v>22929.949138521675</v>
      </c>
      <c r="AE110" s="138">
        <f>IFERROR(_xlfn.XLOOKUP($D110,'Modelling New'!$D:$D,'Modelling New'!O:O),"")</f>
        <v>0.70671473575739119</v>
      </c>
      <c r="AF110" s="137">
        <f>IFERROR(_xlfn.XLOOKUP($D110,'Modelling New'!$D:$D,'Modelling New'!W:W),"")</f>
        <v>0.11911562884943125</v>
      </c>
      <c r="AG110" s="137">
        <f>IFERROR(_xlfn.XLOOKUP($D110,'Modelling New'!$D:$D,'Modelling New'!AE:AE),"")</f>
        <v>0.98040000000000005</v>
      </c>
      <c r="AH110" s="156">
        <f>IFERROR(_xlfn.XLOOKUP($D110,'Modelling New'!$D:$D,'Modelling New'!AF:AF),"")</f>
        <v>0.98</v>
      </c>
      <c r="AN110" s="134"/>
      <c r="AO110" s="137"/>
      <c r="AP110" s="137"/>
      <c r="AQ110" s="137"/>
      <c r="AR110" s="130">
        <f>'Basic Data'!$B$98/1000</f>
        <v>8.0208999999999993</v>
      </c>
    </row>
    <row r="111" spans="1:44" x14ac:dyDescent="0.3">
      <c r="A111" s="129">
        <f t="shared" si="7"/>
        <v>45854</v>
      </c>
      <c r="B111" s="130">
        <f>YEAR(Table13[[#This Row],[Date]])+IF(MONTH(Table13[[#This Row],[Date]])&gt;=4,1,0)</f>
        <v>2026</v>
      </c>
      <c r="C111" s="7">
        <f>YEAR(Table13[[#This Row],[Date]])</f>
        <v>2025</v>
      </c>
      <c r="D111" s="131">
        <f>Table13[[#This Row],[Date]]-DAY(Table13[[#This Row],[Date]])+1</f>
        <v>45839</v>
      </c>
      <c r="E111" s="7">
        <f t="shared" si="4"/>
        <v>31</v>
      </c>
      <c r="F111" s="132">
        <f>IFERROR(_xlfn.XLOOKUP($A111,'Raw Data'!$G:$G,'Raw Data'!$AM:$AM),"")</f>
        <v>12.600000000000001</v>
      </c>
      <c r="G111" s="133">
        <f>IFERROR(_xlfn.XLOOKUP($A111,'Raw Data'!$G:$G,'Raw Data'!$AB:$AB),"")</f>
        <v>0</v>
      </c>
      <c r="H111" s="133"/>
      <c r="I111" s="133">
        <f>IFERROR(_xlfn.XLOOKUP($A111,'Raw Data'!$G:$G,'Raw Data'!$AC:$AC),"")</f>
        <v>4.9000000000000004</v>
      </c>
      <c r="J111" s="133"/>
      <c r="K111" s="133">
        <f>IFERROR(_xlfn.XLOOKUP($A111,'Raw Data'!$G:$G,'Raw Data'!AD:AD),"")</f>
        <v>0</v>
      </c>
      <c r="L111" s="133">
        <f>IFERROR(_xlfn.XLOOKUP($A111,'Raw Data'!$G:$G,'Raw Data'!AE:AE),"")</f>
        <v>37.42</v>
      </c>
      <c r="M111" s="133">
        <f>IFERROR(_xlfn.XLOOKUP($A111,'Raw Data'!$G:$G,'Raw Data'!AF:AF),"")</f>
        <v>0</v>
      </c>
      <c r="N111" s="133">
        <f>IFERROR(_xlfn.XLOOKUP($A111,'Raw Data'!$G:$G,'Raw Data'!AG:AG),"")</f>
        <v>0</v>
      </c>
      <c r="O111" s="134">
        <f>IFERROR(1-SUMIF('Plant BD'!$H:$H,$A111,'Plant BD'!$AE:$AE)/($AA111+SUMIF('Plant BD'!$H:$H,$A111,'Plant BD'!$AE:$AE)),"")</f>
        <v>1</v>
      </c>
      <c r="P111" s="134"/>
      <c r="Q111" s="135"/>
      <c r="R111" s="134">
        <f>IFERROR(1-SUMIF('Grid BD'!$H:$H,$A111,'Grid BD'!$AD:$AD)/($AA111+SUMIF('Grid BD'!$H:$H,$A111,'Grid BD'!$AD:$AD)),"")</f>
        <v>0.96204996761360251</v>
      </c>
      <c r="T111" s="135"/>
      <c r="U111" s="136">
        <f t="shared" si="5"/>
        <v>0.77603383609278032</v>
      </c>
      <c r="V111" s="136"/>
      <c r="W111" s="137">
        <f t="shared" si="6"/>
        <v>0.15844024153560929</v>
      </c>
      <c r="X111" s="130">
        <f>IFERROR(_xlfn.XLOOKUP($A111,'Raw Data'!$G:$G,'Raw Data'!AI:AI),"")</f>
        <v>30889.700000000004</v>
      </c>
      <c r="Y111" s="130">
        <f>IFERROR(_xlfn.XLOOKUP($A111,'Raw Data'!$G:$G,'Raw Data'!AJ:AJ),"")</f>
        <v>30599.999999991269</v>
      </c>
      <c r="Z111" s="130">
        <f>IFERROR(_xlfn.XLOOKUP($A111,'Raw Data'!$G:$G,'Raw Data'!AK:AK),"")</f>
        <v>100.00000000002274</v>
      </c>
      <c r="AA111" s="130">
        <f>IFERROR(_xlfn.XLOOKUP($A111,'Raw Data'!$G:$G,'Raw Data'!AL:AL),"")</f>
        <v>30499.999999991247</v>
      </c>
      <c r="AB111" s="130">
        <f>IFERROR(_xlfn.XLOOKUP($A111,'Raw Data'!$G:$G,'Raw Data'!H:H),"")</f>
        <v>8.0208999999999993</v>
      </c>
      <c r="AC111" s="76">
        <f>IFERROR(_xlfn.XLOOKUP($D111,'Modelling New'!$D:$D,'Modelling New'!P:P),"")</f>
        <v>4.0451612903225804</v>
      </c>
      <c r="AD111" s="130">
        <f>IFERROR(_xlfn.XLOOKUP($D111,'Modelling New'!$D:$D,'Modelling New'!$T:$T)*1000,"")</f>
        <v>22929.949138521675</v>
      </c>
      <c r="AE111" s="138">
        <f>IFERROR(_xlfn.XLOOKUP($D111,'Modelling New'!$D:$D,'Modelling New'!O:O),"")</f>
        <v>0.70671473575739119</v>
      </c>
      <c r="AF111" s="137">
        <f>IFERROR(_xlfn.XLOOKUP($D111,'Modelling New'!$D:$D,'Modelling New'!W:W),"")</f>
        <v>0.11911562884943125</v>
      </c>
      <c r="AG111" s="137">
        <f>IFERROR(_xlfn.XLOOKUP($D111,'Modelling New'!$D:$D,'Modelling New'!AE:AE),"")</f>
        <v>0.98040000000000005</v>
      </c>
      <c r="AH111" s="156">
        <f>IFERROR(_xlfn.XLOOKUP($D111,'Modelling New'!$D:$D,'Modelling New'!AF:AF),"")</f>
        <v>0.98</v>
      </c>
      <c r="AN111" s="134"/>
      <c r="AO111" s="137"/>
      <c r="AP111" s="137"/>
      <c r="AQ111" s="137"/>
      <c r="AR111" s="130">
        <f>'Basic Data'!$B$98/1000</f>
        <v>8.0208999999999993</v>
      </c>
    </row>
    <row r="112" spans="1:44" x14ac:dyDescent="0.3">
      <c r="A112" s="129">
        <f t="shared" si="7"/>
        <v>45855</v>
      </c>
      <c r="B112" s="130">
        <f>YEAR(Table13[[#This Row],[Date]])+IF(MONTH(Table13[[#This Row],[Date]])&gt;=4,1,0)</f>
        <v>2026</v>
      </c>
      <c r="C112" s="7">
        <f>YEAR(Table13[[#This Row],[Date]])</f>
        <v>2025</v>
      </c>
      <c r="D112" s="131">
        <f>Table13[[#This Row],[Date]]-DAY(Table13[[#This Row],[Date]])+1</f>
        <v>45839</v>
      </c>
      <c r="E112" s="7">
        <f t="shared" si="4"/>
        <v>31</v>
      </c>
      <c r="F112" s="132">
        <f>IFERROR(_xlfn.XLOOKUP($A112,'Raw Data'!$G:$G,'Raw Data'!$AM:$AM),"")</f>
        <v>12.350000000000001</v>
      </c>
      <c r="G112" s="133">
        <f>IFERROR(_xlfn.XLOOKUP($A112,'Raw Data'!$G:$G,'Raw Data'!$AB:$AB),"")</f>
        <v>0</v>
      </c>
      <c r="H112" s="133"/>
      <c r="I112" s="214">
        <f>IFERROR(_xlfn.XLOOKUP($A112,'Raw Data'!$G:$G,'Raw Data'!$AC:$AC),"")</f>
        <v>4.17</v>
      </c>
      <c r="J112" s="133"/>
      <c r="K112" s="133">
        <f>IFERROR(_xlfn.XLOOKUP($A112,'Raw Data'!$G:$G,'Raw Data'!AD:AD),"")</f>
        <v>0</v>
      </c>
      <c r="L112" s="133">
        <f>IFERROR(_xlfn.XLOOKUP($A112,'Raw Data'!$G:$G,'Raw Data'!AE:AE),"")</f>
        <v>36.18</v>
      </c>
      <c r="M112" s="133">
        <f>IFERROR(_xlfn.XLOOKUP($A112,'Raw Data'!$G:$G,'Raw Data'!AF:AF),"")</f>
        <v>0</v>
      </c>
      <c r="N112" s="133">
        <f>IFERROR(_xlfn.XLOOKUP($A112,'Raw Data'!$G:$G,'Raw Data'!AG:AG),"")</f>
        <v>0</v>
      </c>
      <c r="O112" s="134">
        <f>IFERROR(1-SUMIF('Plant BD'!$H:$H,$A112,'Plant BD'!$AE:$AE)/($AA112+SUMIF('Plant BD'!$H:$H,$A112,'Plant BD'!$AE:$AE)),"")</f>
        <v>1</v>
      </c>
      <c r="P112" s="134"/>
      <c r="Q112" s="135"/>
      <c r="R112" s="134">
        <f>IFERROR(1-SUMIF('Grid BD'!$H:$H,$A112,'Grid BD'!$AD:$AD)/($AA112+SUMIF('Grid BD'!$H:$H,$A112,'Grid BD'!$AD:$AD)),"")</f>
        <v>0.72488692029251611</v>
      </c>
      <c r="T112" s="135"/>
      <c r="U112" s="136">
        <f t="shared" si="5"/>
        <v>0.61290717329531164</v>
      </c>
      <c r="V112" s="136"/>
      <c r="W112" s="137">
        <f t="shared" si="6"/>
        <v>0.10649262136006038</v>
      </c>
      <c r="X112" s="130">
        <f>IFERROR(_xlfn.XLOOKUP($A112,'Raw Data'!$G:$G,'Raw Data'!AI:AI),"")</f>
        <v>20769</v>
      </c>
      <c r="Y112" s="130">
        <f>IFERROR(_xlfn.XLOOKUP($A112,'Raw Data'!$G:$G,'Raw Data'!AJ:AJ),"")</f>
        <v>20600.000000005821</v>
      </c>
      <c r="Z112" s="130">
        <f>IFERROR(_xlfn.XLOOKUP($A112,'Raw Data'!$G:$G,'Raw Data'!AK:AK),"")</f>
        <v>100.00000000002274</v>
      </c>
      <c r="AA112" s="130">
        <f>IFERROR(_xlfn.XLOOKUP($A112,'Raw Data'!$G:$G,'Raw Data'!AL:AL),"")</f>
        <v>20500.000000005799</v>
      </c>
      <c r="AB112" s="130">
        <f>IFERROR(_xlfn.XLOOKUP($A112,'Raw Data'!$G:$G,'Raw Data'!H:H),"")</f>
        <v>8.0208999999999993</v>
      </c>
      <c r="AC112" s="76">
        <f>IFERROR(_xlfn.XLOOKUP($D112,'Modelling New'!$D:$D,'Modelling New'!P:P),"")</f>
        <v>4.0451612903225804</v>
      </c>
      <c r="AD112" s="130">
        <f>IFERROR(_xlfn.XLOOKUP($D112,'Modelling New'!$D:$D,'Modelling New'!$T:$T)*1000,"")</f>
        <v>22929.949138521675</v>
      </c>
      <c r="AE112" s="138">
        <f>IFERROR(_xlfn.XLOOKUP($D112,'Modelling New'!$D:$D,'Modelling New'!O:O),"")</f>
        <v>0.70671473575739119</v>
      </c>
      <c r="AF112" s="137">
        <f>IFERROR(_xlfn.XLOOKUP($D112,'Modelling New'!$D:$D,'Modelling New'!W:W),"")</f>
        <v>0.11911562884943125</v>
      </c>
      <c r="AG112" s="137">
        <f>IFERROR(_xlfn.XLOOKUP($D112,'Modelling New'!$D:$D,'Modelling New'!AE:AE),"")</f>
        <v>0.98040000000000005</v>
      </c>
      <c r="AH112" s="156">
        <f>IFERROR(_xlfn.XLOOKUP($D112,'Modelling New'!$D:$D,'Modelling New'!AF:AF),"")</f>
        <v>0.98</v>
      </c>
      <c r="AN112" s="134"/>
      <c r="AO112" s="137"/>
      <c r="AP112" s="137"/>
      <c r="AQ112" s="137"/>
      <c r="AR112" s="130">
        <f>'Basic Data'!$B$98/1000</f>
        <v>8.0208999999999993</v>
      </c>
    </row>
    <row r="113" spans="1:44" x14ac:dyDescent="0.3">
      <c r="A113" s="129">
        <f t="shared" si="7"/>
        <v>45856</v>
      </c>
      <c r="B113" s="130">
        <f>YEAR(Table13[[#This Row],[Date]])+IF(MONTH(Table13[[#This Row],[Date]])&gt;=4,1,0)</f>
        <v>2026</v>
      </c>
      <c r="C113" s="7">
        <f>YEAR(Table13[[#This Row],[Date]])</f>
        <v>2025</v>
      </c>
      <c r="D113" s="131">
        <f>Table13[[#This Row],[Date]]-DAY(Table13[[#This Row],[Date]])+1</f>
        <v>45839</v>
      </c>
      <c r="E113" s="7">
        <f t="shared" si="4"/>
        <v>31</v>
      </c>
      <c r="F113" s="132">
        <f>IFERROR(_xlfn.XLOOKUP($A113,'Raw Data'!$G:$G,'Raw Data'!$AM:$AM),"")</f>
        <v>10.633333333333333</v>
      </c>
      <c r="G113" s="133">
        <f>IFERROR(_xlfn.XLOOKUP($A113,'Raw Data'!$G:$G,'Raw Data'!$AB:$AB),"")</f>
        <v>0</v>
      </c>
      <c r="H113" s="133"/>
      <c r="I113" s="214">
        <f>IFERROR(_xlfn.XLOOKUP($A113,'Raw Data'!$G:$G,'Raw Data'!$AC:$AC),"")</f>
        <v>3.83</v>
      </c>
      <c r="J113" s="133"/>
      <c r="K113" s="133">
        <f>IFERROR(_xlfn.XLOOKUP($A113,'Raw Data'!$G:$G,'Raw Data'!AD:AD),"")</f>
        <v>0</v>
      </c>
      <c r="L113" s="133">
        <f>IFERROR(_xlfn.XLOOKUP($A113,'Raw Data'!$G:$G,'Raw Data'!AE:AE),"")</f>
        <v>35.700000000000003</v>
      </c>
      <c r="M113" s="133">
        <f>IFERROR(_xlfn.XLOOKUP($A113,'Raw Data'!$G:$G,'Raw Data'!AF:AF),"")</f>
        <v>0</v>
      </c>
      <c r="N113" s="133">
        <f>IFERROR(_xlfn.XLOOKUP($A113,'Raw Data'!$G:$G,'Raw Data'!AG:AG),"")</f>
        <v>0</v>
      </c>
      <c r="O113" s="134">
        <f>IFERROR(1-SUMIF('Plant BD'!$H:$H,$A113,'Plant BD'!$AE:$AE)/($AA113+SUMIF('Plant BD'!$H:$H,$A113,'Plant BD'!$AE:$AE)),"")</f>
        <v>1</v>
      </c>
      <c r="P113" s="134"/>
      <c r="Q113" s="135"/>
      <c r="R113" s="134">
        <f>IFERROR(1-SUMIF('Grid BD'!$H:$H,$A113,'Grid BD'!$AD:$AD)/($AA113+SUMIF('Grid BD'!$H:$H,$A113,'Grid BD'!$AD:$AD)),"")</f>
        <v>1</v>
      </c>
      <c r="T113" s="135"/>
      <c r="U113" s="136">
        <f t="shared" si="5"/>
        <v>0.80729043155416447</v>
      </c>
      <c r="V113" s="136"/>
      <c r="W113" s="137">
        <f t="shared" si="6"/>
        <v>0.12883009803551873</v>
      </c>
      <c r="X113" s="130">
        <f>IFERROR(_xlfn.XLOOKUP($A113,'Raw Data'!$G:$G,'Raw Data'!AI:AI),"")</f>
        <v>25135.899999999998</v>
      </c>
      <c r="Y113" s="130">
        <f>IFERROR(_xlfn.XLOOKUP($A113,'Raw Data'!$G:$G,'Raw Data'!AJ:AJ),"")</f>
        <v>24899.999999994179</v>
      </c>
      <c r="Z113" s="130">
        <f>IFERROR(_xlfn.XLOOKUP($A113,'Raw Data'!$G:$G,'Raw Data'!AK:AK),"")</f>
        <v>99.999999999965894</v>
      </c>
      <c r="AA113" s="130">
        <f>IFERROR(_xlfn.XLOOKUP($A113,'Raw Data'!$G:$G,'Raw Data'!AL:AL),"")</f>
        <v>24799.999999994212</v>
      </c>
      <c r="AB113" s="130">
        <f>IFERROR(_xlfn.XLOOKUP($A113,'Raw Data'!$G:$G,'Raw Data'!H:H),"")</f>
        <v>8.0208999999999993</v>
      </c>
      <c r="AC113" s="76">
        <f>IFERROR(_xlfn.XLOOKUP($D113,'Modelling New'!$D:$D,'Modelling New'!P:P),"")</f>
        <v>4.0451612903225804</v>
      </c>
      <c r="AD113" s="130">
        <f>IFERROR(_xlfn.XLOOKUP($D113,'Modelling New'!$D:$D,'Modelling New'!$T:$T)*1000,"")</f>
        <v>22929.949138521675</v>
      </c>
      <c r="AE113" s="138">
        <f>IFERROR(_xlfn.XLOOKUP($D113,'Modelling New'!$D:$D,'Modelling New'!O:O),"")</f>
        <v>0.70671473575739119</v>
      </c>
      <c r="AF113" s="137">
        <f>IFERROR(_xlfn.XLOOKUP($D113,'Modelling New'!$D:$D,'Modelling New'!W:W),"")</f>
        <v>0.11911562884943125</v>
      </c>
      <c r="AG113" s="137">
        <f>IFERROR(_xlfn.XLOOKUP($D113,'Modelling New'!$D:$D,'Modelling New'!AE:AE),"")</f>
        <v>0.98040000000000005</v>
      </c>
      <c r="AH113" s="156">
        <f>IFERROR(_xlfn.XLOOKUP($D113,'Modelling New'!$D:$D,'Modelling New'!AF:AF),"")</f>
        <v>0.98</v>
      </c>
      <c r="AN113" s="134"/>
      <c r="AO113" s="137"/>
      <c r="AP113" s="137"/>
      <c r="AQ113" s="137"/>
      <c r="AR113" s="130">
        <f>'Basic Data'!$B$98/1000</f>
        <v>8.0208999999999993</v>
      </c>
    </row>
    <row r="114" spans="1:44" x14ac:dyDescent="0.3">
      <c r="A114" s="129">
        <f t="shared" si="7"/>
        <v>45857</v>
      </c>
      <c r="B114" s="130">
        <f>YEAR(Table13[[#This Row],[Date]])+IF(MONTH(Table13[[#This Row],[Date]])&gt;=4,1,0)</f>
        <v>2026</v>
      </c>
      <c r="C114" s="7">
        <f>YEAR(Table13[[#This Row],[Date]])</f>
        <v>2025</v>
      </c>
      <c r="D114" s="131">
        <f>Table13[[#This Row],[Date]]-DAY(Table13[[#This Row],[Date]])+1</f>
        <v>45839</v>
      </c>
      <c r="E114" s="7">
        <f t="shared" si="4"/>
        <v>31</v>
      </c>
      <c r="F114" s="132">
        <f>IFERROR(_xlfn.XLOOKUP($A114,'Raw Data'!$G:$G,'Raw Data'!$AM:$AM),"")</f>
        <v>12.166666666666666</v>
      </c>
      <c r="G114" s="133">
        <f>IFERROR(_xlfn.XLOOKUP($A114,'Raw Data'!$G:$G,'Raw Data'!$AB:$AB),"")</f>
        <v>0</v>
      </c>
      <c r="H114" s="133"/>
      <c r="I114" s="214">
        <f>IFERROR(_xlfn.XLOOKUP($A114,'Raw Data'!$G:$G,'Raw Data'!$AC:$AC),"")</f>
        <v>3.72</v>
      </c>
      <c r="J114" s="133"/>
      <c r="K114" s="133">
        <f>IFERROR(_xlfn.XLOOKUP($A114,'Raw Data'!$G:$G,'Raw Data'!AD:AD),"")</f>
        <v>0</v>
      </c>
      <c r="L114" s="133">
        <f>IFERROR(_xlfn.XLOOKUP($A114,'Raw Data'!$G:$G,'Raw Data'!AE:AE),"")</f>
        <v>33.1</v>
      </c>
      <c r="M114" s="133">
        <f>IFERROR(_xlfn.XLOOKUP($A114,'Raw Data'!$G:$G,'Raw Data'!AF:AF),"")</f>
        <v>0</v>
      </c>
      <c r="N114" s="133">
        <f>IFERROR(_xlfn.XLOOKUP($A114,'Raw Data'!$G:$G,'Raw Data'!AG:AG),"")</f>
        <v>0</v>
      </c>
      <c r="O114" s="134">
        <f>IFERROR(1-SUMIF('Plant BD'!$H:$H,$A114,'Plant BD'!$AE:$AE)/($AA114+SUMIF('Plant BD'!$H:$H,$A114,'Plant BD'!$AE:$AE)),"")</f>
        <v>0.98312626879817433</v>
      </c>
      <c r="P114" s="134"/>
      <c r="Q114" s="135"/>
      <c r="R114" s="134">
        <f>IFERROR(1-SUMIF('Grid BD'!$H:$H,$A114,'Grid BD'!$AD:$AD)/($AA114+SUMIF('Grid BD'!$H:$H,$A114,'Grid BD'!$AD:$AD)),"")</f>
        <v>1</v>
      </c>
      <c r="T114" s="135"/>
      <c r="U114" s="136">
        <f t="shared" si="5"/>
        <v>0.78089003231774423</v>
      </c>
      <c r="V114" s="136"/>
      <c r="W114" s="137">
        <f t="shared" si="6"/>
        <v>0.12103795500925035</v>
      </c>
      <c r="X114" s="130">
        <f>IFERROR(_xlfn.XLOOKUP($A114,'Raw Data'!$G:$G,'Raw Data'!AI:AI),"")</f>
        <v>23601.4</v>
      </c>
      <c r="Y114" s="130">
        <f>IFERROR(_xlfn.XLOOKUP($A114,'Raw Data'!$G:$G,'Raw Data'!AJ:AJ),"")</f>
        <v>23400.000000008731</v>
      </c>
      <c r="Z114" s="130">
        <f>IFERROR(_xlfn.XLOOKUP($A114,'Raw Data'!$G:$G,'Raw Data'!AK:AK),"")</f>
        <v>100.00000000002274</v>
      </c>
      <c r="AA114" s="130">
        <f>IFERROR(_xlfn.XLOOKUP($A114,'Raw Data'!$G:$G,'Raw Data'!AL:AL),"")</f>
        <v>23300.000000008709</v>
      </c>
      <c r="AB114" s="130">
        <f>IFERROR(_xlfn.XLOOKUP($A114,'Raw Data'!$G:$G,'Raw Data'!H:H),"")</f>
        <v>8.0208999999999993</v>
      </c>
      <c r="AC114" s="76">
        <f>IFERROR(_xlfn.XLOOKUP($D114,'Modelling New'!$D:$D,'Modelling New'!P:P),"")</f>
        <v>4.0451612903225804</v>
      </c>
      <c r="AD114" s="130">
        <f>IFERROR(_xlfn.XLOOKUP($D114,'Modelling New'!$D:$D,'Modelling New'!$T:$T)*1000,"")</f>
        <v>22929.949138521675</v>
      </c>
      <c r="AE114" s="138">
        <f>IFERROR(_xlfn.XLOOKUP($D114,'Modelling New'!$D:$D,'Modelling New'!O:O),"")</f>
        <v>0.70671473575739119</v>
      </c>
      <c r="AF114" s="137">
        <f>IFERROR(_xlfn.XLOOKUP($D114,'Modelling New'!$D:$D,'Modelling New'!W:W),"")</f>
        <v>0.11911562884943125</v>
      </c>
      <c r="AG114" s="137">
        <f>IFERROR(_xlfn.XLOOKUP($D114,'Modelling New'!$D:$D,'Modelling New'!AE:AE),"")</f>
        <v>0.98040000000000005</v>
      </c>
      <c r="AH114" s="156">
        <f>IFERROR(_xlfn.XLOOKUP($D114,'Modelling New'!$D:$D,'Modelling New'!AF:AF),"")</f>
        <v>0.98</v>
      </c>
      <c r="AN114" s="134"/>
      <c r="AO114" s="137"/>
      <c r="AP114" s="137"/>
      <c r="AQ114" s="137"/>
      <c r="AR114" s="130">
        <f>'Basic Data'!$B$98/1000</f>
        <v>8.0208999999999993</v>
      </c>
    </row>
    <row r="115" spans="1:44" x14ac:dyDescent="0.3">
      <c r="A115" s="129">
        <f t="shared" si="7"/>
        <v>45858</v>
      </c>
      <c r="B115" s="130">
        <f>YEAR(Table13[[#This Row],[Date]])+IF(MONTH(Table13[[#This Row],[Date]])&gt;=4,1,0)</f>
        <v>2026</v>
      </c>
      <c r="C115" s="7">
        <f>YEAR(Table13[[#This Row],[Date]])</f>
        <v>2025</v>
      </c>
      <c r="D115" s="131">
        <f>Table13[[#This Row],[Date]]-DAY(Table13[[#This Row],[Date]])+1</f>
        <v>45839</v>
      </c>
      <c r="E115" s="7">
        <f t="shared" si="4"/>
        <v>31</v>
      </c>
      <c r="F115" s="132">
        <f>IFERROR(_xlfn.XLOOKUP($A115,'Raw Data'!$G:$G,'Raw Data'!$AM:$AM),"")</f>
        <v>12.399999999999999</v>
      </c>
      <c r="G115" s="133">
        <f>IFERROR(_xlfn.XLOOKUP($A115,'Raw Data'!$G:$G,'Raw Data'!$AB:$AB),"")</f>
        <v>0</v>
      </c>
      <c r="H115" s="133"/>
      <c r="I115" s="214">
        <f>IFERROR(_xlfn.XLOOKUP($A115,'Raw Data'!$G:$G,'Raw Data'!$AC:$AC),"")</f>
        <v>4.76</v>
      </c>
      <c r="J115" s="133"/>
      <c r="K115" s="133">
        <f>IFERROR(_xlfn.XLOOKUP($A115,'Raw Data'!$G:$G,'Raw Data'!AD:AD),"")</f>
        <v>0</v>
      </c>
      <c r="L115" s="133">
        <f>IFERROR(_xlfn.XLOOKUP($A115,'Raw Data'!$G:$G,'Raw Data'!AE:AE),"")</f>
        <v>36.56</v>
      </c>
      <c r="M115" s="133">
        <f>IFERROR(_xlfn.XLOOKUP($A115,'Raw Data'!$G:$G,'Raw Data'!AF:AF),"")</f>
        <v>0</v>
      </c>
      <c r="N115" s="133">
        <f>IFERROR(_xlfn.XLOOKUP($A115,'Raw Data'!$G:$G,'Raw Data'!AG:AG),"")</f>
        <v>0</v>
      </c>
      <c r="O115" s="134">
        <f>IFERROR(1-SUMIF('Plant BD'!$H:$H,$A115,'Plant BD'!$AE:$AE)/($AA115+SUMIF('Plant BD'!$H:$H,$A115,'Plant BD'!$AE:$AE)),"")</f>
        <v>1</v>
      </c>
      <c r="P115" s="134"/>
      <c r="Q115" s="135"/>
      <c r="R115" s="134">
        <f>IFERROR(1-SUMIF('Grid BD'!$H:$H,$A115,'Grid BD'!$AD:$AD)/($AA115+SUMIF('Grid BD'!$H:$H,$A115,'Grid BD'!$AD:$AD)),"")</f>
        <v>1</v>
      </c>
      <c r="T115" s="135"/>
      <c r="U115" s="136">
        <f t="shared" si="5"/>
        <v>0.7936199452039272</v>
      </c>
      <c r="V115" s="136"/>
      <c r="W115" s="137">
        <f t="shared" si="6"/>
        <v>0.15740128913211221</v>
      </c>
      <c r="X115" s="130">
        <f>IFERROR(_xlfn.XLOOKUP($A115,'Raw Data'!$G:$G,'Raw Data'!AI:AI),"")</f>
        <v>30663.299999999996</v>
      </c>
      <c r="Y115" s="130">
        <f>IFERROR(_xlfn.XLOOKUP($A115,'Raw Data'!$G:$G,'Raw Data'!AJ:AJ),"")</f>
        <v>30399.999999994179</v>
      </c>
      <c r="Z115" s="130">
        <f>IFERROR(_xlfn.XLOOKUP($A115,'Raw Data'!$G:$G,'Raw Data'!AK:AK),"")</f>
        <v>99.999999999965894</v>
      </c>
      <c r="AA115" s="130">
        <f>IFERROR(_xlfn.XLOOKUP($A115,'Raw Data'!$G:$G,'Raw Data'!AL:AL),"")</f>
        <v>30299.999999994212</v>
      </c>
      <c r="AB115" s="130">
        <f>IFERROR(_xlfn.XLOOKUP($A115,'Raw Data'!$G:$G,'Raw Data'!H:H),"")</f>
        <v>8.0208999999999993</v>
      </c>
      <c r="AC115" s="76">
        <f>IFERROR(_xlfn.XLOOKUP($D115,'Modelling New'!$D:$D,'Modelling New'!P:P),"")</f>
        <v>4.0451612903225804</v>
      </c>
      <c r="AD115" s="130">
        <f>IFERROR(_xlfn.XLOOKUP($D115,'Modelling New'!$D:$D,'Modelling New'!$T:$T)*1000,"")</f>
        <v>22929.949138521675</v>
      </c>
      <c r="AE115" s="138">
        <f>IFERROR(_xlfn.XLOOKUP($D115,'Modelling New'!$D:$D,'Modelling New'!O:O),"")</f>
        <v>0.70671473575739119</v>
      </c>
      <c r="AF115" s="137">
        <f>IFERROR(_xlfn.XLOOKUP($D115,'Modelling New'!$D:$D,'Modelling New'!W:W),"")</f>
        <v>0.11911562884943125</v>
      </c>
      <c r="AG115" s="137">
        <f>IFERROR(_xlfn.XLOOKUP($D115,'Modelling New'!$D:$D,'Modelling New'!AE:AE),"")</f>
        <v>0.98040000000000005</v>
      </c>
      <c r="AH115" s="156">
        <f>IFERROR(_xlfn.XLOOKUP($D115,'Modelling New'!$D:$D,'Modelling New'!AF:AF),"")</f>
        <v>0.98</v>
      </c>
      <c r="AN115" s="134"/>
      <c r="AO115" s="137"/>
      <c r="AP115" s="137"/>
      <c r="AQ115" s="137"/>
      <c r="AR115" s="130">
        <f>'Basic Data'!$B$98/1000</f>
        <v>8.0208999999999993</v>
      </c>
    </row>
    <row r="116" spans="1:44" x14ac:dyDescent="0.3">
      <c r="A116" s="129">
        <f t="shared" si="7"/>
        <v>45859</v>
      </c>
      <c r="B116" s="130">
        <f>YEAR(Table13[[#This Row],[Date]])+IF(MONTH(Table13[[#This Row],[Date]])&gt;=4,1,0)</f>
        <v>2026</v>
      </c>
      <c r="C116" s="7">
        <f>YEAR(Table13[[#This Row],[Date]])</f>
        <v>2025</v>
      </c>
      <c r="D116" s="131">
        <f>Table13[[#This Row],[Date]]-DAY(Table13[[#This Row],[Date]])+1</f>
        <v>45839</v>
      </c>
      <c r="E116" s="7">
        <f t="shared" si="4"/>
        <v>31</v>
      </c>
      <c r="F116" s="132" t="str">
        <f>IFERROR(_xlfn.XLOOKUP($A116,'Raw Data'!$G:$G,'Raw Data'!$AM:$AM),"")</f>
        <v/>
      </c>
      <c r="G116" s="133" t="str">
        <f>IFERROR(_xlfn.XLOOKUP($A116,'Raw Data'!$G:$G,'Raw Data'!$AB:$AB),"")</f>
        <v/>
      </c>
      <c r="H116" s="133"/>
      <c r="I116" s="133" t="str">
        <f>IFERROR(_xlfn.XLOOKUP($A116,'Raw Data'!$G:$G,'Raw Data'!$AC:$AC),"")</f>
        <v/>
      </c>
      <c r="J116" s="133"/>
      <c r="K116" s="133" t="str">
        <f>IFERROR(_xlfn.XLOOKUP($A116,'Raw Data'!$G:$G,'Raw Data'!AD:AD),"")</f>
        <v/>
      </c>
      <c r="L116" s="133" t="str">
        <f>IFERROR(_xlfn.XLOOKUP($A116,'Raw Data'!$G:$G,'Raw Data'!AE:AE),"")</f>
        <v/>
      </c>
      <c r="M116" s="133" t="str">
        <f>IFERROR(_xlfn.XLOOKUP($A116,'Raw Data'!$G:$G,'Raw Data'!AF:AF),"")</f>
        <v/>
      </c>
      <c r="N116" s="133" t="str">
        <f>IFERROR(_xlfn.XLOOKUP($A116,'Raw Data'!$G:$G,'Raw Data'!AG:AG),"")</f>
        <v/>
      </c>
      <c r="O116" s="134" t="str">
        <f>IFERROR(1-SUMIF('Plant BD'!$H:$H,$A116,'Plant BD'!$AE:$AE)/($AA116+SUMIF('Plant BD'!$H:$H,$A116,'Plant BD'!$AE:$AE)),"")</f>
        <v/>
      </c>
      <c r="P116" s="134"/>
      <c r="Q116" s="135"/>
      <c r="R116" s="134" t="str">
        <f>IFERROR(1-SUMIF('Grid BD'!$H:$H,$A116,'Grid BD'!$AD:$AD)/($AA116+SUMIF('Grid BD'!$H:$H,$A116,'Grid BD'!$AD:$AD)),"")</f>
        <v/>
      </c>
      <c r="T116" s="135"/>
      <c r="U116" s="136" t="str">
        <f t="shared" si="5"/>
        <v/>
      </c>
      <c r="V116" s="136"/>
      <c r="W116" s="137" t="str">
        <f t="shared" si="6"/>
        <v/>
      </c>
      <c r="X116" s="130" t="str">
        <f>IFERROR(_xlfn.XLOOKUP($A116,'Raw Data'!$G:$G,'Raw Data'!AI:AI),"")</f>
        <v/>
      </c>
      <c r="Y116" s="130" t="str">
        <f>IFERROR(_xlfn.XLOOKUP($A116,'Raw Data'!$G:$G,'Raw Data'!AJ:AJ),"")</f>
        <v/>
      </c>
      <c r="Z116" s="130" t="str">
        <f>IFERROR(_xlfn.XLOOKUP($A116,'Raw Data'!$G:$G,'Raw Data'!AK:AK),"")</f>
        <v/>
      </c>
      <c r="AA116" s="130" t="str">
        <f>IFERROR(_xlfn.XLOOKUP($A116,'Raw Data'!$G:$G,'Raw Data'!AL:AL),"")</f>
        <v/>
      </c>
      <c r="AB116" s="130" t="str">
        <f>IFERROR(_xlfn.XLOOKUP($A116,'Raw Data'!$G:$G,'Raw Data'!H:H),"")</f>
        <v/>
      </c>
      <c r="AC116" s="76">
        <f>IFERROR(_xlfn.XLOOKUP($D116,'Modelling New'!$D:$D,'Modelling New'!P:P),"")</f>
        <v>4.0451612903225804</v>
      </c>
      <c r="AD116" s="130">
        <f>IFERROR(_xlfn.XLOOKUP($D116,'Modelling New'!$D:$D,'Modelling New'!$T:$T)*1000,"")</f>
        <v>22929.949138521675</v>
      </c>
      <c r="AE116" s="138">
        <f>IFERROR(_xlfn.XLOOKUP($D116,'Modelling New'!$D:$D,'Modelling New'!O:O),"")</f>
        <v>0.70671473575739119</v>
      </c>
      <c r="AF116" s="137">
        <f>IFERROR(_xlfn.XLOOKUP($D116,'Modelling New'!$D:$D,'Modelling New'!W:W),"")</f>
        <v>0.11911562884943125</v>
      </c>
      <c r="AG116" s="137">
        <f>IFERROR(_xlfn.XLOOKUP($D116,'Modelling New'!$D:$D,'Modelling New'!AE:AE),"")</f>
        <v>0.98040000000000005</v>
      </c>
      <c r="AH116" s="156">
        <f>IFERROR(_xlfn.XLOOKUP($D116,'Modelling New'!$D:$D,'Modelling New'!AF:AF),"")</f>
        <v>0.98</v>
      </c>
      <c r="AN116" s="134"/>
      <c r="AO116" s="137"/>
      <c r="AP116" s="137"/>
      <c r="AQ116" s="137"/>
      <c r="AR116" s="130">
        <f>'Basic Data'!$B$98/1000</f>
        <v>8.0208999999999993</v>
      </c>
    </row>
    <row r="117" spans="1:44" x14ac:dyDescent="0.3">
      <c r="A117" s="129">
        <f t="shared" si="7"/>
        <v>45860</v>
      </c>
      <c r="B117" s="130">
        <f>YEAR(Table13[[#This Row],[Date]])+IF(MONTH(Table13[[#This Row],[Date]])&gt;=4,1,0)</f>
        <v>2026</v>
      </c>
      <c r="C117" s="7">
        <f>YEAR(Table13[[#This Row],[Date]])</f>
        <v>2025</v>
      </c>
      <c r="D117" s="131">
        <f>Table13[[#This Row],[Date]]-DAY(Table13[[#This Row],[Date]])+1</f>
        <v>45839</v>
      </c>
      <c r="E117" s="7">
        <f t="shared" ref="E117:E180" si="8">DAY(EOMONTH(A117,0))</f>
        <v>31</v>
      </c>
      <c r="F117" s="132" t="str">
        <f>IFERROR(_xlfn.XLOOKUP($A117,'Raw Data'!$G:$G,'Raw Data'!$AM:$AM),"")</f>
        <v/>
      </c>
      <c r="G117" s="133" t="str">
        <f>IFERROR(_xlfn.XLOOKUP($A117,'Raw Data'!$G:$G,'Raw Data'!$AB:$AB),"")</f>
        <v/>
      </c>
      <c r="H117" s="133"/>
      <c r="I117" s="133" t="str">
        <f>IFERROR(_xlfn.XLOOKUP($A117,'Raw Data'!$G:$G,'Raw Data'!$AC:$AC),"")</f>
        <v/>
      </c>
      <c r="J117" s="133"/>
      <c r="K117" s="133" t="str">
        <f>IFERROR(_xlfn.XLOOKUP($A117,'Raw Data'!$G:$G,'Raw Data'!AD:AD),"")</f>
        <v/>
      </c>
      <c r="L117" s="133" t="str">
        <f>IFERROR(_xlfn.XLOOKUP($A117,'Raw Data'!$G:$G,'Raw Data'!AE:AE),"")</f>
        <v/>
      </c>
      <c r="M117" s="133" t="str">
        <f>IFERROR(_xlfn.XLOOKUP($A117,'Raw Data'!$G:$G,'Raw Data'!AF:AF),"")</f>
        <v/>
      </c>
      <c r="N117" s="133" t="str">
        <f>IFERROR(_xlfn.XLOOKUP($A117,'Raw Data'!$G:$G,'Raw Data'!AG:AG),"")</f>
        <v/>
      </c>
      <c r="O117" s="134" t="str">
        <f>IFERROR(1-SUMIF('Plant BD'!$H:$H,$A117,'Plant BD'!$AE:$AE)/($AA117+SUMIF('Plant BD'!$H:$H,$A117,'Plant BD'!$AE:$AE)),"")</f>
        <v/>
      </c>
      <c r="P117" s="134"/>
      <c r="Q117" s="135"/>
      <c r="R117" s="134" t="str">
        <f>IFERROR(1-SUMIF('Grid BD'!$H:$H,$A117,'Grid BD'!$AD:$AD)/($AA117+SUMIF('Grid BD'!$H:$H,$A117,'Grid BD'!$AD:$AD)),"")</f>
        <v/>
      </c>
      <c r="T117" s="135"/>
      <c r="U117" s="136" t="str">
        <f t="shared" ref="U117:U180" si="9">IFERROR(AA117/I117/AB117/1000,"")</f>
        <v/>
      </c>
      <c r="V117" s="136"/>
      <c r="W117" s="137" t="str">
        <f t="shared" ref="W117:W180" si="10">IFERROR(AA117/(24*AB117*1000),"")</f>
        <v/>
      </c>
      <c r="X117" s="130" t="str">
        <f>IFERROR(_xlfn.XLOOKUP($A117,'Raw Data'!$G:$G,'Raw Data'!AI:AI),"")</f>
        <v/>
      </c>
      <c r="Y117" s="130" t="str">
        <f>IFERROR(_xlfn.XLOOKUP($A117,'Raw Data'!$G:$G,'Raw Data'!AJ:AJ),"")</f>
        <v/>
      </c>
      <c r="Z117" s="130" t="str">
        <f>IFERROR(_xlfn.XLOOKUP($A117,'Raw Data'!$G:$G,'Raw Data'!AK:AK),"")</f>
        <v/>
      </c>
      <c r="AA117" s="130" t="str">
        <f>IFERROR(_xlfn.XLOOKUP($A117,'Raw Data'!$G:$G,'Raw Data'!AL:AL),"")</f>
        <v/>
      </c>
      <c r="AB117" s="130" t="str">
        <f>IFERROR(_xlfn.XLOOKUP($A117,'Raw Data'!$G:$G,'Raw Data'!H:H),"")</f>
        <v/>
      </c>
      <c r="AC117" s="76">
        <f>IFERROR(_xlfn.XLOOKUP($D117,'Modelling New'!$D:$D,'Modelling New'!P:P),"")</f>
        <v>4.0451612903225804</v>
      </c>
      <c r="AD117" s="130">
        <f>IFERROR(_xlfn.XLOOKUP($D117,'Modelling New'!$D:$D,'Modelling New'!$T:$T)*1000,"")</f>
        <v>22929.949138521675</v>
      </c>
      <c r="AE117" s="138">
        <f>IFERROR(_xlfn.XLOOKUP($D117,'Modelling New'!$D:$D,'Modelling New'!O:O),"")</f>
        <v>0.70671473575739119</v>
      </c>
      <c r="AF117" s="137">
        <f>IFERROR(_xlfn.XLOOKUP($D117,'Modelling New'!$D:$D,'Modelling New'!W:W),"")</f>
        <v>0.11911562884943125</v>
      </c>
      <c r="AG117" s="137">
        <f>IFERROR(_xlfn.XLOOKUP($D117,'Modelling New'!$D:$D,'Modelling New'!AE:AE),"")</f>
        <v>0.98040000000000005</v>
      </c>
      <c r="AH117" s="156">
        <f>IFERROR(_xlfn.XLOOKUP($D117,'Modelling New'!$D:$D,'Modelling New'!AF:AF),"")</f>
        <v>0.98</v>
      </c>
      <c r="AN117" s="134"/>
      <c r="AO117" s="137"/>
      <c r="AP117" s="137"/>
      <c r="AQ117" s="137"/>
      <c r="AR117" s="130">
        <f>'Basic Data'!$B$98/1000</f>
        <v>8.0208999999999993</v>
      </c>
    </row>
    <row r="118" spans="1:44" x14ac:dyDescent="0.3">
      <c r="A118" s="129">
        <f t="shared" ref="A118:A181" si="11">A117+1</f>
        <v>45861</v>
      </c>
      <c r="B118" s="130">
        <f>YEAR(Table13[[#This Row],[Date]])+IF(MONTH(Table13[[#This Row],[Date]])&gt;=4,1,0)</f>
        <v>2026</v>
      </c>
      <c r="C118" s="7">
        <f>YEAR(Table13[[#This Row],[Date]])</f>
        <v>2025</v>
      </c>
      <c r="D118" s="131">
        <f>Table13[[#This Row],[Date]]-DAY(Table13[[#This Row],[Date]])+1</f>
        <v>45839</v>
      </c>
      <c r="E118" s="7">
        <f t="shared" si="8"/>
        <v>31</v>
      </c>
      <c r="F118" s="132" t="str">
        <f>IFERROR(_xlfn.XLOOKUP($A118,'Raw Data'!$G:$G,'Raw Data'!$AM:$AM),"")</f>
        <v/>
      </c>
      <c r="G118" s="133" t="str">
        <f>IFERROR(_xlfn.XLOOKUP($A118,'Raw Data'!$G:$G,'Raw Data'!$AB:$AB),"")</f>
        <v/>
      </c>
      <c r="H118" s="133"/>
      <c r="I118" s="133" t="str">
        <f>IFERROR(_xlfn.XLOOKUP($A118,'Raw Data'!$G:$G,'Raw Data'!$AC:$AC),"")</f>
        <v/>
      </c>
      <c r="J118" s="133"/>
      <c r="K118" s="133" t="str">
        <f>IFERROR(_xlfn.XLOOKUP($A118,'Raw Data'!$G:$G,'Raw Data'!AD:AD),"")</f>
        <v/>
      </c>
      <c r="L118" s="133" t="str">
        <f>IFERROR(_xlfn.XLOOKUP($A118,'Raw Data'!$G:$G,'Raw Data'!AE:AE),"")</f>
        <v/>
      </c>
      <c r="M118" s="133" t="str">
        <f>IFERROR(_xlfn.XLOOKUP($A118,'Raw Data'!$G:$G,'Raw Data'!AF:AF),"")</f>
        <v/>
      </c>
      <c r="N118" s="133" t="str">
        <f>IFERROR(_xlfn.XLOOKUP($A118,'Raw Data'!$G:$G,'Raw Data'!AG:AG),"")</f>
        <v/>
      </c>
      <c r="O118" s="134" t="str">
        <f>IFERROR(1-SUMIF('Plant BD'!$H:$H,$A118,'Plant BD'!$AE:$AE)/($AA118+SUMIF('Plant BD'!$H:$H,$A118,'Plant BD'!$AE:$AE)),"")</f>
        <v/>
      </c>
      <c r="P118" s="134"/>
      <c r="Q118" s="135"/>
      <c r="R118" s="134" t="str">
        <f>IFERROR(1-SUMIF('Grid BD'!$H:$H,$A118,'Grid BD'!$AD:$AD)/($AA118+SUMIF('Grid BD'!$H:$H,$A118,'Grid BD'!$AD:$AD)),"")</f>
        <v/>
      </c>
      <c r="T118" s="135"/>
      <c r="U118" s="136" t="str">
        <f t="shared" si="9"/>
        <v/>
      </c>
      <c r="V118" s="136"/>
      <c r="W118" s="137" t="str">
        <f t="shared" si="10"/>
        <v/>
      </c>
      <c r="X118" s="130" t="str">
        <f>IFERROR(_xlfn.XLOOKUP($A118,'Raw Data'!$G:$G,'Raw Data'!AI:AI),"")</f>
        <v/>
      </c>
      <c r="Y118" s="130" t="str">
        <f>IFERROR(_xlfn.XLOOKUP($A118,'Raw Data'!$G:$G,'Raw Data'!AJ:AJ),"")</f>
        <v/>
      </c>
      <c r="Z118" s="130" t="str">
        <f>IFERROR(_xlfn.XLOOKUP($A118,'Raw Data'!$G:$G,'Raw Data'!AK:AK),"")</f>
        <v/>
      </c>
      <c r="AA118" s="130" t="str">
        <f>IFERROR(_xlfn.XLOOKUP($A118,'Raw Data'!$G:$G,'Raw Data'!AL:AL),"")</f>
        <v/>
      </c>
      <c r="AB118" s="130" t="str">
        <f>IFERROR(_xlfn.XLOOKUP($A118,'Raw Data'!$G:$G,'Raw Data'!H:H),"")</f>
        <v/>
      </c>
      <c r="AC118" s="76">
        <f>IFERROR(_xlfn.XLOOKUP($D118,'Modelling New'!$D:$D,'Modelling New'!P:P),"")</f>
        <v>4.0451612903225804</v>
      </c>
      <c r="AD118" s="130">
        <f>IFERROR(_xlfn.XLOOKUP($D118,'Modelling New'!$D:$D,'Modelling New'!$T:$T)*1000,"")</f>
        <v>22929.949138521675</v>
      </c>
      <c r="AE118" s="138">
        <f>IFERROR(_xlfn.XLOOKUP($D118,'Modelling New'!$D:$D,'Modelling New'!O:O),"")</f>
        <v>0.70671473575739119</v>
      </c>
      <c r="AF118" s="137">
        <f>IFERROR(_xlfn.XLOOKUP($D118,'Modelling New'!$D:$D,'Modelling New'!W:W),"")</f>
        <v>0.11911562884943125</v>
      </c>
      <c r="AG118" s="137">
        <f>IFERROR(_xlfn.XLOOKUP($D118,'Modelling New'!$D:$D,'Modelling New'!AE:AE),"")</f>
        <v>0.98040000000000005</v>
      </c>
      <c r="AH118" s="156">
        <f>IFERROR(_xlfn.XLOOKUP($D118,'Modelling New'!$D:$D,'Modelling New'!AF:AF),"")</f>
        <v>0.98</v>
      </c>
      <c r="AN118" s="134"/>
      <c r="AO118" s="137"/>
      <c r="AP118" s="137"/>
      <c r="AQ118" s="137"/>
      <c r="AR118" s="130">
        <f>'Basic Data'!$B$98/1000</f>
        <v>8.0208999999999993</v>
      </c>
    </row>
    <row r="119" spans="1:44" x14ac:dyDescent="0.3">
      <c r="A119" s="129">
        <f t="shared" si="11"/>
        <v>45862</v>
      </c>
      <c r="B119" s="130">
        <f>YEAR(Table13[[#This Row],[Date]])+IF(MONTH(Table13[[#This Row],[Date]])&gt;=4,1,0)</f>
        <v>2026</v>
      </c>
      <c r="C119" s="7">
        <f>YEAR(Table13[[#This Row],[Date]])</f>
        <v>2025</v>
      </c>
      <c r="D119" s="131">
        <f>Table13[[#This Row],[Date]]-DAY(Table13[[#This Row],[Date]])+1</f>
        <v>45839</v>
      </c>
      <c r="E119" s="7">
        <f t="shared" si="8"/>
        <v>31</v>
      </c>
      <c r="F119" s="132" t="str">
        <f>IFERROR(_xlfn.XLOOKUP($A119,'Raw Data'!$G:$G,'Raw Data'!$AM:$AM),"")</f>
        <v/>
      </c>
      <c r="G119" s="133" t="str">
        <f>IFERROR(_xlfn.XLOOKUP($A119,'Raw Data'!$G:$G,'Raw Data'!$AB:$AB),"")</f>
        <v/>
      </c>
      <c r="H119" s="133"/>
      <c r="I119" s="133" t="str">
        <f>IFERROR(_xlfn.XLOOKUP($A119,'Raw Data'!$G:$G,'Raw Data'!$AC:$AC),"")</f>
        <v/>
      </c>
      <c r="J119" s="133"/>
      <c r="K119" s="133" t="str">
        <f>IFERROR(_xlfn.XLOOKUP($A119,'Raw Data'!$G:$G,'Raw Data'!AD:AD),"")</f>
        <v/>
      </c>
      <c r="L119" s="133" t="str">
        <f>IFERROR(_xlfn.XLOOKUP($A119,'Raw Data'!$G:$G,'Raw Data'!AE:AE),"")</f>
        <v/>
      </c>
      <c r="M119" s="133" t="str">
        <f>IFERROR(_xlfn.XLOOKUP($A119,'Raw Data'!$G:$G,'Raw Data'!AF:AF),"")</f>
        <v/>
      </c>
      <c r="N119" s="133" t="str">
        <f>IFERROR(_xlfn.XLOOKUP($A119,'Raw Data'!$G:$G,'Raw Data'!AG:AG),"")</f>
        <v/>
      </c>
      <c r="O119" s="134" t="str">
        <f>IFERROR(1-SUMIF('Plant BD'!$H:$H,$A119,'Plant BD'!$AE:$AE)/($AA119+SUMIF('Plant BD'!$H:$H,$A119,'Plant BD'!$AE:$AE)),"")</f>
        <v/>
      </c>
      <c r="P119" s="134"/>
      <c r="Q119" s="135"/>
      <c r="R119" s="134" t="str">
        <f>IFERROR(1-SUMIF('Grid BD'!$H:$H,$A119,'Grid BD'!$AD:$AD)/($AA119+SUMIF('Grid BD'!$H:$H,$A119,'Grid BD'!$AD:$AD)),"")</f>
        <v/>
      </c>
      <c r="T119" s="135"/>
      <c r="U119" s="136" t="str">
        <f t="shared" si="9"/>
        <v/>
      </c>
      <c r="V119" s="136"/>
      <c r="W119" s="137" t="str">
        <f t="shared" si="10"/>
        <v/>
      </c>
      <c r="X119" s="130" t="str">
        <f>IFERROR(_xlfn.XLOOKUP($A119,'Raw Data'!$G:$G,'Raw Data'!AI:AI),"")</f>
        <v/>
      </c>
      <c r="Y119" s="130" t="str">
        <f>IFERROR(_xlfn.XLOOKUP($A119,'Raw Data'!$G:$G,'Raw Data'!AJ:AJ),"")</f>
        <v/>
      </c>
      <c r="Z119" s="130" t="str">
        <f>IFERROR(_xlfn.XLOOKUP($A119,'Raw Data'!$G:$G,'Raw Data'!AK:AK),"")</f>
        <v/>
      </c>
      <c r="AA119" s="130" t="str">
        <f>IFERROR(_xlfn.XLOOKUP($A119,'Raw Data'!$G:$G,'Raw Data'!AL:AL),"")</f>
        <v/>
      </c>
      <c r="AB119" s="130" t="str">
        <f>IFERROR(_xlfn.XLOOKUP($A119,'Raw Data'!$G:$G,'Raw Data'!H:H),"")</f>
        <v/>
      </c>
      <c r="AC119" s="76">
        <f>IFERROR(_xlfn.XLOOKUP($D119,'Modelling New'!$D:$D,'Modelling New'!P:P),"")</f>
        <v>4.0451612903225804</v>
      </c>
      <c r="AD119" s="130">
        <f>IFERROR(_xlfn.XLOOKUP($D119,'Modelling New'!$D:$D,'Modelling New'!$T:$T)*1000,"")</f>
        <v>22929.949138521675</v>
      </c>
      <c r="AE119" s="138">
        <f>IFERROR(_xlfn.XLOOKUP($D119,'Modelling New'!$D:$D,'Modelling New'!O:O),"")</f>
        <v>0.70671473575739119</v>
      </c>
      <c r="AF119" s="137">
        <f>IFERROR(_xlfn.XLOOKUP($D119,'Modelling New'!$D:$D,'Modelling New'!W:W),"")</f>
        <v>0.11911562884943125</v>
      </c>
      <c r="AG119" s="137">
        <f>IFERROR(_xlfn.XLOOKUP($D119,'Modelling New'!$D:$D,'Modelling New'!AE:AE),"")</f>
        <v>0.98040000000000005</v>
      </c>
      <c r="AH119" s="156">
        <f>IFERROR(_xlfn.XLOOKUP($D119,'Modelling New'!$D:$D,'Modelling New'!AF:AF),"")</f>
        <v>0.98</v>
      </c>
      <c r="AN119" s="134"/>
      <c r="AO119" s="137"/>
      <c r="AP119" s="137"/>
      <c r="AQ119" s="137"/>
      <c r="AR119" s="130">
        <f>'Basic Data'!$B$98/1000</f>
        <v>8.0208999999999993</v>
      </c>
    </row>
    <row r="120" spans="1:44" x14ac:dyDescent="0.3">
      <c r="A120" s="129">
        <f t="shared" si="11"/>
        <v>45863</v>
      </c>
      <c r="B120" s="130">
        <f>YEAR(Table13[[#This Row],[Date]])+IF(MONTH(Table13[[#This Row],[Date]])&gt;=4,1,0)</f>
        <v>2026</v>
      </c>
      <c r="C120" s="7">
        <f>YEAR(Table13[[#This Row],[Date]])</f>
        <v>2025</v>
      </c>
      <c r="D120" s="131">
        <f>Table13[[#This Row],[Date]]-DAY(Table13[[#This Row],[Date]])+1</f>
        <v>45839</v>
      </c>
      <c r="E120" s="7">
        <f t="shared" si="8"/>
        <v>31</v>
      </c>
      <c r="F120" s="132" t="str">
        <f>IFERROR(_xlfn.XLOOKUP($A120,'Raw Data'!$G:$G,'Raw Data'!$AM:$AM),"")</f>
        <v/>
      </c>
      <c r="G120" s="133" t="str">
        <f>IFERROR(_xlfn.XLOOKUP($A120,'Raw Data'!$G:$G,'Raw Data'!$AB:$AB),"")</f>
        <v/>
      </c>
      <c r="H120" s="133"/>
      <c r="I120" s="133" t="str">
        <f>IFERROR(_xlfn.XLOOKUP($A120,'Raw Data'!$G:$G,'Raw Data'!$AC:$AC),"")</f>
        <v/>
      </c>
      <c r="J120" s="133"/>
      <c r="K120" s="133" t="str">
        <f>IFERROR(_xlfn.XLOOKUP($A120,'Raw Data'!$G:$G,'Raw Data'!AD:AD),"")</f>
        <v/>
      </c>
      <c r="L120" s="133" t="str">
        <f>IFERROR(_xlfn.XLOOKUP($A120,'Raw Data'!$G:$G,'Raw Data'!AE:AE),"")</f>
        <v/>
      </c>
      <c r="M120" s="133" t="str">
        <f>IFERROR(_xlfn.XLOOKUP($A120,'Raw Data'!$G:$G,'Raw Data'!AF:AF),"")</f>
        <v/>
      </c>
      <c r="N120" s="133" t="str">
        <f>IFERROR(_xlfn.XLOOKUP($A120,'Raw Data'!$G:$G,'Raw Data'!AG:AG),"")</f>
        <v/>
      </c>
      <c r="O120" s="134" t="str">
        <f>IFERROR(1-SUMIF('Plant BD'!$H:$H,$A120,'Plant BD'!$AE:$AE)/($AA120+SUMIF('Plant BD'!$H:$H,$A120,'Plant BD'!$AE:$AE)),"")</f>
        <v/>
      </c>
      <c r="P120" s="134"/>
      <c r="Q120" s="135"/>
      <c r="R120" s="134" t="str">
        <f>IFERROR(1-SUMIF('Grid BD'!$H:$H,$A120,'Grid BD'!$AD:$AD)/($AA120+SUMIF('Grid BD'!$H:$H,$A120,'Grid BD'!$AD:$AD)),"")</f>
        <v/>
      </c>
      <c r="T120" s="135"/>
      <c r="U120" s="136" t="str">
        <f t="shared" si="9"/>
        <v/>
      </c>
      <c r="V120" s="136"/>
      <c r="W120" s="137" t="str">
        <f t="shared" si="10"/>
        <v/>
      </c>
      <c r="X120" s="130" t="str">
        <f>IFERROR(_xlfn.XLOOKUP($A120,'Raw Data'!$G:$G,'Raw Data'!AI:AI),"")</f>
        <v/>
      </c>
      <c r="Y120" s="130" t="str">
        <f>IFERROR(_xlfn.XLOOKUP($A120,'Raw Data'!$G:$G,'Raw Data'!AJ:AJ),"")</f>
        <v/>
      </c>
      <c r="Z120" s="130" t="str">
        <f>IFERROR(_xlfn.XLOOKUP($A120,'Raw Data'!$G:$G,'Raw Data'!AK:AK),"")</f>
        <v/>
      </c>
      <c r="AA120" s="130" t="str">
        <f>IFERROR(_xlfn.XLOOKUP($A120,'Raw Data'!$G:$G,'Raw Data'!AL:AL),"")</f>
        <v/>
      </c>
      <c r="AB120" s="130" t="str">
        <f>IFERROR(_xlfn.XLOOKUP($A120,'Raw Data'!$G:$G,'Raw Data'!H:H),"")</f>
        <v/>
      </c>
      <c r="AC120" s="76">
        <f>IFERROR(_xlfn.XLOOKUP($D120,'Modelling New'!$D:$D,'Modelling New'!P:P),"")</f>
        <v>4.0451612903225804</v>
      </c>
      <c r="AD120" s="130">
        <f>IFERROR(_xlfn.XLOOKUP($D120,'Modelling New'!$D:$D,'Modelling New'!$T:$T)*1000,"")</f>
        <v>22929.949138521675</v>
      </c>
      <c r="AE120" s="138">
        <f>IFERROR(_xlfn.XLOOKUP($D120,'Modelling New'!$D:$D,'Modelling New'!O:O),"")</f>
        <v>0.70671473575739119</v>
      </c>
      <c r="AF120" s="137">
        <f>IFERROR(_xlfn.XLOOKUP($D120,'Modelling New'!$D:$D,'Modelling New'!W:W),"")</f>
        <v>0.11911562884943125</v>
      </c>
      <c r="AG120" s="137">
        <f>IFERROR(_xlfn.XLOOKUP($D120,'Modelling New'!$D:$D,'Modelling New'!AE:AE),"")</f>
        <v>0.98040000000000005</v>
      </c>
      <c r="AH120" s="156">
        <f>IFERROR(_xlfn.XLOOKUP($D120,'Modelling New'!$D:$D,'Modelling New'!AF:AF),"")</f>
        <v>0.98</v>
      </c>
      <c r="AN120" s="134"/>
      <c r="AO120" s="137"/>
      <c r="AP120" s="137"/>
      <c r="AQ120" s="137"/>
      <c r="AR120" s="130">
        <f>'Basic Data'!$B$98/1000</f>
        <v>8.0208999999999993</v>
      </c>
    </row>
    <row r="121" spans="1:44" x14ac:dyDescent="0.3">
      <c r="A121" s="129">
        <f t="shared" si="11"/>
        <v>45864</v>
      </c>
      <c r="B121" s="130">
        <f>YEAR(Table13[[#This Row],[Date]])+IF(MONTH(Table13[[#This Row],[Date]])&gt;=4,1,0)</f>
        <v>2026</v>
      </c>
      <c r="C121" s="7">
        <f>YEAR(Table13[[#This Row],[Date]])</f>
        <v>2025</v>
      </c>
      <c r="D121" s="131">
        <f>Table13[[#This Row],[Date]]-DAY(Table13[[#This Row],[Date]])+1</f>
        <v>45839</v>
      </c>
      <c r="E121" s="7">
        <f t="shared" si="8"/>
        <v>31</v>
      </c>
      <c r="F121" s="132" t="str">
        <f>IFERROR(_xlfn.XLOOKUP($A121,'Raw Data'!$G:$G,'Raw Data'!$AM:$AM),"")</f>
        <v/>
      </c>
      <c r="G121" s="133" t="str">
        <f>IFERROR(_xlfn.XLOOKUP($A121,'Raw Data'!$G:$G,'Raw Data'!$AB:$AB),"")</f>
        <v/>
      </c>
      <c r="H121" s="133"/>
      <c r="I121" s="133" t="str">
        <f>IFERROR(_xlfn.XLOOKUP($A121,'Raw Data'!$G:$G,'Raw Data'!$AC:$AC),"")</f>
        <v/>
      </c>
      <c r="J121" s="133"/>
      <c r="K121" s="133" t="str">
        <f>IFERROR(_xlfn.XLOOKUP($A121,'Raw Data'!$G:$G,'Raw Data'!AD:AD),"")</f>
        <v/>
      </c>
      <c r="L121" s="133" t="str">
        <f>IFERROR(_xlfn.XLOOKUP($A121,'Raw Data'!$G:$G,'Raw Data'!AE:AE),"")</f>
        <v/>
      </c>
      <c r="M121" s="133" t="str">
        <f>IFERROR(_xlfn.XLOOKUP($A121,'Raw Data'!$G:$G,'Raw Data'!AF:AF),"")</f>
        <v/>
      </c>
      <c r="N121" s="133" t="str">
        <f>IFERROR(_xlfn.XLOOKUP($A121,'Raw Data'!$G:$G,'Raw Data'!AG:AG),"")</f>
        <v/>
      </c>
      <c r="O121" s="134" t="str">
        <f>IFERROR(1-SUMIF('Plant BD'!$H:$H,$A121,'Plant BD'!$AE:$AE)/($AA121+SUMIF('Plant BD'!$H:$H,$A121,'Plant BD'!$AE:$AE)),"")</f>
        <v/>
      </c>
      <c r="P121" s="134"/>
      <c r="Q121" s="135"/>
      <c r="R121" s="134" t="str">
        <f>IFERROR(1-SUMIF('Grid BD'!$H:$H,$A121,'Grid BD'!$AD:$AD)/($AA121+SUMIF('Grid BD'!$H:$H,$A121,'Grid BD'!$AD:$AD)),"")</f>
        <v/>
      </c>
      <c r="T121" s="135"/>
      <c r="U121" s="136" t="str">
        <f t="shared" si="9"/>
        <v/>
      </c>
      <c r="V121" s="136"/>
      <c r="W121" s="137" t="str">
        <f t="shared" si="10"/>
        <v/>
      </c>
      <c r="X121" s="130" t="str">
        <f>IFERROR(_xlfn.XLOOKUP($A121,'Raw Data'!$G:$G,'Raw Data'!AI:AI),"")</f>
        <v/>
      </c>
      <c r="Y121" s="130" t="str">
        <f>IFERROR(_xlfn.XLOOKUP($A121,'Raw Data'!$G:$G,'Raw Data'!AJ:AJ),"")</f>
        <v/>
      </c>
      <c r="Z121" s="130" t="str">
        <f>IFERROR(_xlfn.XLOOKUP($A121,'Raw Data'!$G:$G,'Raw Data'!AK:AK),"")</f>
        <v/>
      </c>
      <c r="AA121" s="130" t="str">
        <f>IFERROR(_xlfn.XLOOKUP($A121,'Raw Data'!$G:$G,'Raw Data'!AL:AL),"")</f>
        <v/>
      </c>
      <c r="AB121" s="130" t="str">
        <f>IFERROR(_xlfn.XLOOKUP($A121,'Raw Data'!$G:$G,'Raw Data'!H:H),"")</f>
        <v/>
      </c>
      <c r="AC121" s="76">
        <f>IFERROR(_xlfn.XLOOKUP($D121,'Modelling New'!$D:$D,'Modelling New'!P:P),"")</f>
        <v>4.0451612903225804</v>
      </c>
      <c r="AD121" s="130">
        <f>IFERROR(_xlfn.XLOOKUP($D121,'Modelling New'!$D:$D,'Modelling New'!$T:$T)*1000,"")</f>
        <v>22929.949138521675</v>
      </c>
      <c r="AE121" s="138">
        <f>IFERROR(_xlfn.XLOOKUP($D121,'Modelling New'!$D:$D,'Modelling New'!O:O),"")</f>
        <v>0.70671473575739119</v>
      </c>
      <c r="AF121" s="137">
        <f>IFERROR(_xlfn.XLOOKUP($D121,'Modelling New'!$D:$D,'Modelling New'!W:W),"")</f>
        <v>0.11911562884943125</v>
      </c>
      <c r="AG121" s="137">
        <f>IFERROR(_xlfn.XLOOKUP($D121,'Modelling New'!$D:$D,'Modelling New'!AE:AE),"")</f>
        <v>0.98040000000000005</v>
      </c>
      <c r="AH121" s="156">
        <f>IFERROR(_xlfn.XLOOKUP($D121,'Modelling New'!$D:$D,'Modelling New'!AF:AF),"")</f>
        <v>0.98</v>
      </c>
      <c r="AN121" s="134"/>
      <c r="AO121" s="137"/>
      <c r="AP121" s="137"/>
      <c r="AQ121" s="137"/>
      <c r="AR121" s="130">
        <f>'Basic Data'!$B$98/1000</f>
        <v>8.0208999999999993</v>
      </c>
    </row>
    <row r="122" spans="1:44" x14ac:dyDescent="0.3">
      <c r="A122" s="129">
        <f t="shared" si="11"/>
        <v>45865</v>
      </c>
      <c r="B122" s="130">
        <f>YEAR(Table13[[#This Row],[Date]])+IF(MONTH(Table13[[#This Row],[Date]])&gt;=4,1,0)</f>
        <v>2026</v>
      </c>
      <c r="C122" s="7">
        <f>YEAR(Table13[[#This Row],[Date]])</f>
        <v>2025</v>
      </c>
      <c r="D122" s="131">
        <f>Table13[[#This Row],[Date]]-DAY(Table13[[#This Row],[Date]])+1</f>
        <v>45839</v>
      </c>
      <c r="E122" s="7">
        <f t="shared" si="8"/>
        <v>31</v>
      </c>
      <c r="F122" s="132" t="str">
        <f>IFERROR(_xlfn.XLOOKUP($A122,'Raw Data'!$G:$G,'Raw Data'!$AM:$AM),"")</f>
        <v/>
      </c>
      <c r="G122" s="133" t="str">
        <f>IFERROR(_xlfn.XLOOKUP($A122,'Raw Data'!$G:$G,'Raw Data'!$AB:$AB),"")</f>
        <v/>
      </c>
      <c r="H122" s="133"/>
      <c r="I122" s="133" t="str">
        <f>IFERROR(_xlfn.XLOOKUP($A122,'Raw Data'!$G:$G,'Raw Data'!$AC:$AC),"")</f>
        <v/>
      </c>
      <c r="J122" s="133"/>
      <c r="K122" s="133" t="str">
        <f>IFERROR(_xlfn.XLOOKUP($A122,'Raw Data'!$G:$G,'Raw Data'!AD:AD),"")</f>
        <v/>
      </c>
      <c r="L122" s="133" t="str">
        <f>IFERROR(_xlfn.XLOOKUP($A122,'Raw Data'!$G:$G,'Raw Data'!AE:AE),"")</f>
        <v/>
      </c>
      <c r="M122" s="133" t="str">
        <f>IFERROR(_xlfn.XLOOKUP($A122,'Raw Data'!$G:$G,'Raw Data'!AF:AF),"")</f>
        <v/>
      </c>
      <c r="N122" s="133" t="str">
        <f>IFERROR(_xlfn.XLOOKUP($A122,'Raw Data'!$G:$G,'Raw Data'!AG:AG),"")</f>
        <v/>
      </c>
      <c r="O122" s="134" t="str">
        <f>IFERROR(1-SUMIF('Plant BD'!$H:$H,$A122,'Plant BD'!$AE:$AE)/($AA122+SUMIF('Plant BD'!$H:$H,$A122,'Plant BD'!$AE:$AE)),"")</f>
        <v/>
      </c>
      <c r="P122" s="134"/>
      <c r="Q122" s="135"/>
      <c r="R122" s="134" t="str">
        <f>IFERROR(1-SUMIF('Grid BD'!$H:$H,$A122,'Grid BD'!$AD:$AD)/($AA122+SUMIF('Grid BD'!$H:$H,$A122,'Grid BD'!$AD:$AD)),"")</f>
        <v/>
      </c>
      <c r="T122" s="135"/>
      <c r="U122" s="136" t="str">
        <f t="shared" si="9"/>
        <v/>
      </c>
      <c r="V122" s="136"/>
      <c r="W122" s="137" t="str">
        <f t="shared" si="10"/>
        <v/>
      </c>
      <c r="X122" s="130" t="str">
        <f>IFERROR(_xlfn.XLOOKUP($A122,'Raw Data'!$G:$G,'Raw Data'!AI:AI),"")</f>
        <v/>
      </c>
      <c r="Y122" s="130" t="str">
        <f>IFERROR(_xlfn.XLOOKUP($A122,'Raw Data'!$G:$G,'Raw Data'!AJ:AJ),"")</f>
        <v/>
      </c>
      <c r="Z122" s="130" t="str">
        <f>IFERROR(_xlfn.XLOOKUP($A122,'Raw Data'!$G:$G,'Raw Data'!AK:AK),"")</f>
        <v/>
      </c>
      <c r="AA122" s="130" t="str">
        <f>IFERROR(_xlfn.XLOOKUP($A122,'Raw Data'!$G:$G,'Raw Data'!AL:AL),"")</f>
        <v/>
      </c>
      <c r="AB122" s="130" t="str">
        <f>IFERROR(_xlfn.XLOOKUP($A122,'Raw Data'!$G:$G,'Raw Data'!H:H),"")</f>
        <v/>
      </c>
      <c r="AC122" s="76">
        <f>IFERROR(_xlfn.XLOOKUP($D122,'Modelling New'!$D:$D,'Modelling New'!P:P),"")</f>
        <v>4.0451612903225804</v>
      </c>
      <c r="AD122" s="130">
        <f>IFERROR(_xlfn.XLOOKUP($D122,'Modelling New'!$D:$D,'Modelling New'!$T:$T)*1000,"")</f>
        <v>22929.949138521675</v>
      </c>
      <c r="AE122" s="138">
        <f>IFERROR(_xlfn.XLOOKUP($D122,'Modelling New'!$D:$D,'Modelling New'!O:O),"")</f>
        <v>0.70671473575739119</v>
      </c>
      <c r="AF122" s="137">
        <f>IFERROR(_xlfn.XLOOKUP($D122,'Modelling New'!$D:$D,'Modelling New'!W:W),"")</f>
        <v>0.11911562884943125</v>
      </c>
      <c r="AG122" s="137">
        <f>IFERROR(_xlfn.XLOOKUP($D122,'Modelling New'!$D:$D,'Modelling New'!AE:AE),"")</f>
        <v>0.98040000000000005</v>
      </c>
      <c r="AH122" s="156">
        <f>IFERROR(_xlfn.XLOOKUP($D122,'Modelling New'!$D:$D,'Modelling New'!AF:AF),"")</f>
        <v>0.98</v>
      </c>
      <c r="AN122" s="134"/>
      <c r="AO122" s="137"/>
      <c r="AP122" s="137"/>
      <c r="AQ122" s="137"/>
      <c r="AR122" s="130">
        <f>'Basic Data'!$B$98/1000</f>
        <v>8.0208999999999993</v>
      </c>
    </row>
    <row r="123" spans="1:44" x14ac:dyDescent="0.3">
      <c r="A123" s="129">
        <f t="shared" si="11"/>
        <v>45866</v>
      </c>
      <c r="B123" s="130">
        <f>YEAR(Table13[[#This Row],[Date]])+IF(MONTH(Table13[[#This Row],[Date]])&gt;=4,1,0)</f>
        <v>2026</v>
      </c>
      <c r="C123" s="7">
        <f>YEAR(Table13[[#This Row],[Date]])</f>
        <v>2025</v>
      </c>
      <c r="D123" s="131">
        <f>Table13[[#This Row],[Date]]-DAY(Table13[[#This Row],[Date]])+1</f>
        <v>45839</v>
      </c>
      <c r="E123" s="7">
        <f t="shared" si="8"/>
        <v>31</v>
      </c>
      <c r="F123" s="132" t="str">
        <f>IFERROR(_xlfn.XLOOKUP($A123,'Raw Data'!$G:$G,'Raw Data'!$AM:$AM),"")</f>
        <v/>
      </c>
      <c r="G123" s="133" t="str">
        <f>IFERROR(_xlfn.XLOOKUP($A123,'Raw Data'!$G:$G,'Raw Data'!$AB:$AB),"")</f>
        <v/>
      </c>
      <c r="H123" s="133"/>
      <c r="I123" s="133" t="str">
        <f>IFERROR(_xlfn.XLOOKUP($A123,'Raw Data'!$G:$G,'Raw Data'!$AC:$AC),"")</f>
        <v/>
      </c>
      <c r="J123" s="133"/>
      <c r="K123" s="133" t="str">
        <f>IFERROR(_xlfn.XLOOKUP($A123,'Raw Data'!$G:$G,'Raw Data'!AD:AD),"")</f>
        <v/>
      </c>
      <c r="L123" s="133" t="str">
        <f>IFERROR(_xlfn.XLOOKUP($A123,'Raw Data'!$G:$G,'Raw Data'!AE:AE),"")</f>
        <v/>
      </c>
      <c r="M123" s="133" t="str">
        <f>IFERROR(_xlfn.XLOOKUP($A123,'Raw Data'!$G:$G,'Raw Data'!AF:AF),"")</f>
        <v/>
      </c>
      <c r="N123" s="133" t="str">
        <f>IFERROR(_xlfn.XLOOKUP($A123,'Raw Data'!$G:$G,'Raw Data'!AG:AG),"")</f>
        <v/>
      </c>
      <c r="O123" s="134" t="str">
        <f>IFERROR(1-SUMIF('Plant BD'!$H:$H,$A123,'Plant BD'!$AE:$AE)/($AA123+SUMIF('Plant BD'!$H:$H,$A123,'Plant BD'!$AE:$AE)),"")</f>
        <v/>
      </c>
      <c r="P123" s="134"/>
      <c r="Q123" s="135"/>
      <c r="R123" s="134" t="str">
        <f>IFERROR(1-SUMIF('Grid BD'!$H:$H,$A123,'Grid BD'!$AD:$AD)/($AA123+SUMIF('Grid BD'!$H:$H,$A123,'Grid BD'!$AD:$AD)),"")</f>
        <v/>
      </c>
      <c r="T123" s="135"/>
      <c r="U123" s="136" t="str">
        <f t="shared" si="9"/>
        <v/>
      </c>
      <c r="V123" s="136"/>
      <c r="W123" s="137" t="str">
        <f t="shared" si="10"/>
        <v/>
      </c>
      <c r="X123" s="130" t="str">
        <f>IFERROR(_xlfn.XLOOKUP($A123,'Raw Data'!$G:$G,'Raw Data'!AI:AI),"")</f>
        <v/>
      </c>
      <c r="Y123" s="130" t="str">
        <f>IFERROR(_xlfn.XLOOKUP($A123,'Raw Data'!$G:$G,'Raw Data'!AJ:AJ),"")</f>
        <v/>
      </c>
      <c r="Z123" s="130" t="str">
        <f>IFERROR(_xlfn.XLOOKUP($A123,'Raw Data'!$G:$G,'Raw Data'!AK:AK),"")</f>
        <v/>
      </c>
      <c r="AA123" s="130" t="str">
        <f>IFERROR(_xlfn.XLOOKUP($A123,'Raw Data'!$G:$G,'Raw Data'!AL:AL),"")</f>
        <v/>
      </c>
      <c r="AB123" s="130" t="str">
        <f>IFERROR(_xlfn.XLOOKUP($A123,'Raw Data'!$G:$G,'Raw Data'!H:H),"")</f>
        <v/>
      </c>
      <c r="AC123" s="76">
        <f>IFERROR(_xlfn.XLOOKUP($D123,'Modelling New'!$D:$D,'Modelling New'!P:P),"")</f>
        <v>4.0451612903225804</v>
      </c>
      <c r="AD123" s="130">
        <f>IFERROR(_xlfn.XLOOKUP($D123,'Modelling New'!$D:$D,'Modelling New'!$T:$T)*1000,"")</f>
        <v>22929.949138521675</v>
      </c>
      <c r="AE123" s="138">
        <f>IFERROR(_xlfn.XLOOKUP($D123,'Modelling New'!$D:$D,'Modelling New'!O:O),"")</f>
        <v>0.70671473575739119</v>
      </c>
      <c r="AF123" s="137">
        <f>IFERROR(_xlfn.XLOOKUP($D123,'Modelling New'!$D:$D,'Modelling New'!W:W),"")</f>
        <v>0.11911562884943125</v>
      </c>
      <c r="AG123" s="137">
        <f>IFERROR(_xlfn.XLOOKUP($D123,'Modelling New'!$D:$D,'Modelling New'!AE:AE),"")</f>
        <v>0.98040000000000005</v>
      </c>
      <c r="AH123" s="156">
        <f>IFERROR(_xlfn.XLOOKUP($D123,'Modelling New'!$D:$D,'Modelling New'!AF:AF),"")</f>
        <v>0.98</v>
      </c>
      <c r="AN123" s="134"/>
      <c r="AO123" s="137"/>
      <c r="AP123" s="137"/>
      <c r="AQ123" s="137"/>
      <c r="AR123" s="130">
        <f>'Basic Data'!$B$98/1000</f>
        <v>8.0208999999999993</v>
      </c>
    </row>
    <row r="124" spans="1:44" x14ac:dyDescent="0.3">
      <c r="A124" s="129">
        <f t="shared" si="11"/>
        <v>45867</v>
      </c>
      <c r="B124" s="130">
        <f>YEAR(Table13[[#This Row],[Date]])+IF(MONTH(Table13[[#This Row],[Date]])&gt;=4,1,0)</f>
        <v>2026</v>
      </c>
      <c r="C124" s="7">
        <f>YEAR(Table13[[#This Row],[Date]])</f>
        <v>2025</v>
      </c>
      <c r="D124" s="131">
        <f>Table13[[#This Row],[Date]]-DAY(Table13[[#This Row],[Date]])+1</f>
        <v>45839</v>
      </c>
      <c r="E124" s="7">
        <f t="shared" si="8"/>
        <v>31</v>
      </c>
      <c r="F124" s="132" t="str">
        <f>IFERROR(_xlfn.XLOOKUP($A124,'Raw Data'!$G:$G,'Raw Data'!$AM:$AM),"")</f>
        <v/>
      </c>
      <c r="G124" s="133" t="str">
        <f>IFERROR(_xlfn.XLOOKUP($A124,'Raw Data'!$G:$G,'Raw Data'!$AB:$AB),"")</f>
        <v/>
      </c>
      <c r="H124" s="133"/>
      <c r="I124" s="133" t="str">
        <f>IFERROR(_xlfn.XLOOKUP($A124,'Raw Data'!$G:$G,'Raw Data'!$AC:$AC),"")</f>
        <v/>
      </c>
      <c r="J124" s="133"/>
      <c r="K124" s="133" t="str">
        <f>IFERROR(_xlfn.XLOOKUP($A124,'Raw Data'!$G:$G,'Raw Data'!AD:AD),"")</f>
        <v/>
      </c>
      <c r="L124" s="133" t="str">
        <f>IFERROR(_xlfn.XLOOKUP($A124,'Raw Data'!$G:$G,'Raw Data'!AE:AE),"")</f>
        <v/>
      </c>
      <c r="M124" s="133" t="str">
        <f>IFERROR(_xlfn.XLOOKUP($A124,'Raw Data'!$G:$G,'Raw Data'!AF:AF),"")</f>
        <v/>
      </c>
      <c r="N124" s="133" t="str">
        <f>IFERROR(_xlfn.XLOOKUP($A124,'Raw Data'!$G:$G,'Raw Data'!AG:AG),"")</f>
        <v/>
      </c>
      <c r="O124" s="134" t="str">
        <f>IFERROR(1-SUMIF('Plant BD'!$H:$H,$A124,'Plant BD'!$AE:$AE)/($AA124+SUMIF('Plant BD'!$H:$H,$A124,'Plant BD'!$AE:$AE)),"")</f>
        <v/>
      </c>
      <c r="P124" s="134"/>
      <c r="Q124" s="135"/>
      <c r="R124" s="134" t="str">
        <f>IFERROR(1-SUMIF('Grid BD'!$H:$H,$A124,'Grid BD'!$AD:$AD)/($AA124+SUMIF('Grid BD'!$H:$H,$A124,'Grid BD'!$AD:$AD)),"")</f>
        <v/>
      </c>
      <c r="T124" s="135"/>
      <c r="U124" s="136" t="str">
        <f t="shared" si="9"/>
        <v/>
      </c>
      <c r="V124" s="136"/>
      <c r="W124" s="137" t="str">
        <f t="shared" si="10"/>
        <v/>
      </c>
      <c r="X124" s="130" t="str">
        <f>IFERROR(_xlfn.XLOOKUP($A124,'Raw Data'!$G:$G,'Raw Data'!AI:AI),"")</f>
        <v/>
      </c>
      <c r="Y124" s="130" t="str">
        <f>IFERROR(_xlfn.XLOOKUP($A124,'Raw Data'!$G:$G,'Raw Data'!AJ:AJ),"")</f>
        <v/>
      </c>
      <c r="Z124" s="130" t="str">
        <f>IFERROR(_xlfn.XLOOKUP($A124,'Raw Data'!$G:$G,'Raw Data'!AK:AK),"")</f>
        <v/>
      </c>
      <c r="AA124" s="130" t="str">
        <f>IFERROR(_xlfn.XLOOKUP($A124,'Raw Data'!$G:$G,'Raw Data'!AL:AL),"")</f>
        <v/>
      </c>
      <c r="AB124" s="130" t="str">
        <f>IFERROR(_xlfn.XLOOKUP($A124,'Raw Data'!$G:$G,'Raw Data'!H:H),"")</f>
        <v/>
      </c>
      <c r="AC124" s="76">
        <f>IFERROR(_xlfn.XLOOKUP($D124,'Modelling New'!$D:$D,'Modelling New'!P:P),"")</f>
        <v>4.0451612903225804</v>
      </c>
      <c r="AD124" s="130">
        <f>IFERROR(_xlfn.XLOOKUP($D124,'Modelling New'!$D:$D,'Modelling New'!$T:$T)*1000,"")</f>
        <v>22929.949138521675</v>
      </c>
      <c r="AE124" s="138">
        <f>IFERROR(_xlfn.XLOOKUP($D124,'Modelling New'!$D:$D,'Modelling New'!O:O),"")</f>
        <v>0.70671473575739119</v>
      </c>
      <c r="AF124" s="137">
        <f>IFERROR(_xlfn.XLOOKUP($D124,'Modelling New'!$D:$D,'Modelling New'!W:W),"")</f>
        <v>0.11911562884943125</v>
      </c>
      <c r="AG124" s="137">
        <f>IFERROR(_xlfn.XLOOKUP($D124,'Modelling New'!$D:$D,'Modelling New'!AE:AE),"")</f>
        <v>0.98040000000000005</v>
      </c>
      <c r="AH124" s="156">
        <f>IFERROR(_xlfn.XLOOKUP($D124,'Modelling New'!$D:$D,'Modelling New'!AF:AF),"")</f>
        <v>0.98</v>
      </c>
      <c r="AN124" s="134"/>
      <c r="AO124" s="137"/>
      <c r="AP124" s="137"/>
      <c r="AQ124" s="137"/>
      <c r="AR124" s="130">
        <f>'Basic Data'!$B$98/1000</f>
        <v>8.0208999999999993</v>
      </c>
    </row>
    <row r="125" spans="1:44" x14ac:dyDescent="0.3">
      <c r="A125" s="129">
        <f t="shared" si="11"/>
        <v>45868</v>
      </c>
      <c r="B125" s="130">
        <f>YEAR(Table13[[#This Row],[Date]])+IF(MONTH(Table13[[#This Row],[Date]])&gt;=4,1,0)</f>
        <v>2026</v>
      </c>
      <c r="C125" s="7">
        <f>YEAR(Table13[[#This Row],[Date]])</f>
        <v>2025</v>
      </c>
      <c r="D125" s="131">
        <f>Table13[[#This Row],[Date]]-DAY(Table13[[#This Row],[Date]])+1</f>
        <v>45839</v>
      </c>
      <c r="E125" s="7">
        <f t="shared" si="8"/>
        <v>31</v>
      </c>
      <c r="F125" s="132" t="str">
        <f>IFERROR(_xlfn.XLOOKUP($A125,'Raw Data'!$G:$G,'Raw Data'!$AM:$AM),"")</f>
        <v/>
      </c>
      <c r="G125" s="133" t="str">
        <f>IFERROR(_xlfn.XLOOKUP($A125,'Raw Data'!$G:$G,'Raw Data'!$AB:$AB),"")</f>
        <v/>
      </c>
      <c r="H125" s="133"/>
      <c r="I125" s="133" t="str">
        <f>IFERROR(_xlfn.XLOOKUP($A125,'Raw Data'!$G:$G,'Raw Data'!$AC:$AC),"")</f>
        <v/>
      </c>
      <c r="J125" s="133"/>
      <c r="K125" s="133" t="str">
        <f>IFERROR(_xlfn.XLOOKUP($A125,'Raw Data'!$G:$G,'Raw Data'!AD:AD),"")</f>
        <v/>
      </c>
      <c r="L125" s="133" t="str">
        <f>IFERROR(_xlfn.XLOOKUP($A125,'Raw Data'!$G:$G,'Raw Data'!AE:AE),"")</f>
        <v/>
      </c>
      <c r="M125" s="133" t="str">
        <f>IFERROR(_xlfn.XLOOKUP($A125,'Raw Data'!$G:$G,'Raw Data'!AF:AF),"")</f>
        <v/>
      </c>
      <c r="N125" s="133" t="str">
        <f>IFERROR(_xlfn.XLOOKUP($A125,'Raw Data'!$G:$G,'Raw Data'!AG:AG),"")</f>
        <v/>
      </c>
      <c r="O125" s="134" t="str">
        <f>IFERROR(1-SUMIF('Plant BD'!$H:$H,$A125,'Plant BD'!$AE:$AE)/($AA125+SUMIF('Plant BD'!$H:$H,$A125,'Plant BD'!$AE:$AE)),"")</f>
        <v/>
      </c>
      <c r="P125" s="134"/>
      <c r="Q125" s="135"/>
      <c r="R125" s="134" t="str">
        <f>IFERROR(1-SUMIF('Grid BD'!$H:$H,$A125,'Grid BD'!$AD:$AD)/($AA125+SUMIF('Grid BD'!$H:$H,$A125,'Grid BD'!$AD:$AD)),"")</f>
        <v/>
      </c>
      <c r="T125" s="135"/>
      <c r="U125" s="136" t="str">
        <f t="shared" si="9"/>
        <v/>
      </c>
      <c r="V125" s="136"/>
      <c r="W125" s="137" t="str">
        <f t="shared" si="10"/>
        <v/>
      </c>
      <c r="X125" s="130" t="str">
        <f>IFERROR(_xlfn.XLOOKUP($A125,'Raw Data'!$G:$G,'Raw Data'!AI:AI),"")</f>
        <v/>
      </c>
      <c r="Y125" s="130" t="str">
        <f>IFERROR(_xlfn.XLOOKUP($A125,'Raw Data'!$G:$G,'Raw Data'!AJ:AJ),"")</f>
        <v/>
      </c>
      <c r="Z125" s="130" t="str">
        <f>IFERROR(_xlfn.XLOOKUP($A125,'Raw Data'!$G:$G,'Raw Data'!AK:AK),"")</f>
        <v/>
      </c>
      <c r="AA125" s="130" t="str">
        <f>IFERROR(_xlfn.XLOOKUP($A125,'Raw Data'!$G:$G,'Raw Data'!AL:AL),"")</f>
        <v/>
      </c>
      <c r="AB125" s="130" t="str">
        <f>IFERROR(_xlfn.XLOOKUP($A125,'Raw Data'!$G:$G,'Raw Data'!H:H),"")</f>
        <v/>
      </c>
      <c r="AC125" s="76">
        <f>IFERROR(_xlfn.XLOOKUP($D125,'Modelling New'!$D:$D,'Modelling New'!P:P),"")</f>
        <v>4.0451612903225804</v>
      </c>
      <c r="AD125" s="130">
        <f>IFERROR(_xlfn.XLOOKUP($D125,'Modelling New'!$D:$D,'Modelling New'!$T:$T)*1000,"")</f>
        <v>22929.949138521675</v>
      </c>
      <c r="AE125" s="138">
        <f>IFERROR(_xlfn.XLOOKUP($D125,'Modelling New'!$D:$D,'Modelling New'!O:O),"")</f>
        <v>0.70671473575739119</v>
      </c>
      <c r="AF125" s="137">
        <f>IFERROR(_xlfn.XLOOKUP($D125,'Modelling New'!$D:$D,'Modelling New'!W:W),"")</f>
        <v>0.11911562884943125</v>
      </c>
      <c r="AG125" s="137">
        <f>IFERROR(_xlfn.XLOOKUP($D125,'Modelling New'!$D:$D,'Modelling New'!AE:AE),"")</f>
        <v>0.98040000000000005</v>
      </c>
      <c r="AH125" s="156">
        <f>IFERROR(_xlfn.XLOOKUP($D125,'Modelling New'!$D:$D,'Modelling New'!AF:AF),"")</f>
        <v>0.98</v>
      </c>
      <c r="AN125" s="134"/>
      <c r="AO125" s="137"/>
      <c r="AP125" s="137"/>
      <c r="AQ125" s="137"/>
      <c r="AR125" s="130">
        <f>'Basic Data'!$B$98/1000</f>
        <v>8.0208999999999993</v>
      </c>
    </row>
    <row r="126" spans="1:44" x14ac:dyDescent="0.3">
      <c r="A126" s="129">
        <f t="shared" si="11"/>
        <v>45869</v>
      </c>
      <c r="B126" s="130">
        <f>YEAR(Table13[[#This Row],[Date]])+IF(MONTH(Table13[[#This Row],[Date]])&gt;=4,1,0)</f>
        <v>2026</v>
      </c>
      <c r="C126" s="7">
        <f>YEAR(Table13[[#This Row],[Date]])</f>
        <v>2025</v>
      </c>
      <c r="D126" s="131">
        <f>Table13[[#This Row],[Date]]-DAY(Table13[[#This Row],[Date]])+1</f>
        <v>45839</v>
      </c>
      <c r="E126" s="7">
        <f t="shared" si="8"/>
        <v>31</v>
      </c>
      <c r="F126" s="132" t="str">
        <f>IFERROR(_xlfn.XLOOKUP($A126,'Raw Data'!$G:$G,'Raw Data'!$AM:$AM),"")</f>
        <v/>
      </c>
      <c r="G126" s="133" t="str">
        <f>IFERROR(_xlfn.XLOOKUP($A126,'Raw Data'!$G:$G,'Raw Data'!$AB:$AB),"")</f>
        <v/>
      </c>
      <c r="H126" s="133"/>
      <c r="I126" s="133" t="str">
        <f>IFERROR(_xlfn.XLOOKUP($A126,'Raw Data'!$G:$G,'Raw Data'!$AC:$AC),"")</f>
        <v/>
      </c>
      <c r="J126" s="133"/>
      <c r="K126" s="133" t="str">
        <f>IFERROR(_xlfn.XLOOKUP($A126,'Raw Data'!$G:$G,'Raw Data'!AD:AD),"")</f>
        <v/>
      </c>
      <c r="L126" s="133" t="str">
        <f>IFERROR(_xlfn.XLOOKUP($A126,'Raw Data'!$G:$G,'Raw Data'!AE:AE),"")</f>
        <v/>
      </c>
      <c r="M126" s="133" t="str">
        <f>IFERROR(_xlfn.XLOOKUP($A126,'Raw Data'!$G:$G,'Raw Data'!AF:AF),"")</f>
        <v/>
      </c>
      <c r="N126" s="133" t="str">
        <f>IFERROR(_xlfn.XLOOKUP($A126,'Raw Data'!$G:$G,'Raw Data'!AG:AG),"")</f>
        <v/>
      </c>
      <c r="O126" s="134" t="str">
        <f>IFERROR(1-SUMIF('Plant BD'!$H:$H,$A126,'Plant BD'!$AE:$AE)/($AA126+SUMIF('Plant BD'!$H:$H,$A126,'Plant BD'!$AE:$AE)),"")</f>
        <v/>
      </c>
      <c r="P126" s="134"/>
      <c r="Q126" s="135"/>
      <c r="R126" s="134" t="str">
        <f>IFERROR(1-SUMIF('Grid BD'!$H:$H,$A126,'Grid BD'!$AD:$AD)/($AA126+SUMIF('Grid BD'!$H:$H,$A126,'Grid BD'!$AD:$AD)),"")</f>
        <v/>
      </c>
      <c r="T126" s="135"/>
      <c r="U126" s="136" t="str">
        <f t="shared" si="9"/>
        <v/>
      </c>
      <c r="V126" s="136"/>
      <c r="W126" s="137" t="str">
        <f t="shared" si="10"/>
        <v/>
      </c>
      <c r="X126" s="130" t="str">
        <f>IFERROR(_xlfn.XLOOKUP($A126,'Raw Data'!$G:$G,'Raw Data'!AI:AI),"")</f>
        <v/>
      </c>
      <c r="Y126" s="130" t="str">
        <f>IFERROR(_xlfn.XLOOKUP($A126,'Raw Data'!$G:$G,'Raw Data'!AJ:AJ),"")</f>
        <v/>
      </c>
      <c r="Z126" s="130" t="str">
        <f>IFERROR(_xlfn.XLOOKUP($A126,'Raw Data'!$G:$G,'Raw Data'!AK:AK),"")</f>
        <v/>
      </c>
      <c r="AA126" s="130" t="str">
        <f>IFERROR(_xlfn.XLOOKUP($A126,'Raw Data'!$G:$G,'Raw Data'!AL:AL),"")</f>
        <v/>
      </c>
      <c r="AB126" s="130" t="str">
        <f>IFERROR(_xlfn.XLOOKUP($A126,'Raw Data'!$G:$G,'Raw Data'!H:H),"")</f>
        <v/>
      </c>
      <c r="AC126" s="76">
        <f>IFERROR(_xlfn.XLOOKUP($D126,'Modelling New'!$D:$D,'Modelling New'!P:P),"")</f>
        <v>4.0451612903225804</v>
      </c>
      <c r="AD126" s="130">
        <f>IFERROR(_xlfn.XLOOKUP($D126,'Modelling New'!$D:$D,'Modelling New'!$T:$T)*1000,"")</f>
        <v>22929.949138521675</v>
      </c>
      <c r="AE126" s="138">
        <f>IFERROR(_xlfn.XLOOKUP($D126,'Modelling New'!$D:$D,'Modelling New'!O:O),"")</f>
        <v>0.70671473575739119</v>
      </c>
      <c r="AF126" s="137">
        <f>IFERROR(_xlfn.XLOOKUP($D126,'Modelling New'!$D:$D,'Modelling New'!W:W),"")</f>
        <v>0.11911562884943125</v>
      </c>
      <c r="AG126" s="137">
        <f>IFERROR(_xlfn.XLOOKUP($D126,'Modelling New'!$D:$D,'Modelling New'!AE:AE),"")</f>
        <v>0.98040000000000005</v>
      </c>
      <c r="AH126" s="156">
        <f>IFERROR(_xlfn.XLOOKUP($D126,'Modelling New'!$D:$D,'Modelling New'!AF:AF),"")</f>
        <v>0.98</v>
      </c>
      <c r="AN126" s="134"/>
      <c r="AO126" s="137"/>
      <c r="AP126" s="137"/>
      <c r="AQ126" s="137"/>
      <c r="AR126" s="130">
        <f>'Basic Data'!$B$98/1000</f>
        <v>8.0208999999999993</v>
      </c>
    </row>
    <row r="127" spans="1:44" x14ac:dyDescent="0.3">
      <c r="A127" s="129">
        <f t="shared" si="11"/>
        <v>45870</v>
      </c>
      <c r="B127" s="130">
        <f>YEAR(Table13[[#This Row],[Date]])+IF(MONTH(Table13[[#This Row],[Date]])&gt;=4,1,0)</f>
        <v>2026</v>
      </c>
      <c r="C127" s="7">
        <f>YEAR(Table13[[#This Row],[Date]])</f>
        <v>2025</v>
      </c>
      <c r="D127" s="131">
        <f>Table13[[#This Row],[Date]]-DAY(Table13[[#This Row],[Date]])+1</f>
        <v>45870</v>
      </c>
      <c r="E127" s="7">
        <f t="shared" si="8"/>
        <v>31</v>
      </c>
      <c r="F127" s="132" t="str">
        <f>IFERROR(_xlfn.XLOOKUP($A127,'Raw Data'!$G:$G,'Raw Data'!$AM:$AM),"")</f>
        <v/>
      </c>
      <c r="G127" s="133" t="str">
        <f>IFERROR(_xlfn.XLOOKUP($A127,'Raw Data'!$G:$G,'Raw Data'!$AB:$AB),"")</f>
        <v/>
      </c>
      <c r="H127" s="133"/>
      <c r="I127" s="133" t="str">
        <f>IFERROR(_xlfn.XLOOKUP($A127,'Raw Data'!$G:$G,'Raw Data'!$AC:$AC),"")</f>
        <v/>
      </c>
      <c r="J127" s="133"/>
      <c r="K127" s="133" t="str">
        <f>IFERROR(_xlfn.XLOOKUP($A127,'Raw Data'!$G:$G,'Raw Data'!AD:AD),"")</f>
        <v/>
      </c>
      <c r="L127" s="133" t="str">
        <f>IFERROR(_xlfn.XLOOKUP($A127,'Raw Data'!$G:$G,'Raw Data'!AE:AE),"")</f>
        <v/>
      </c>
      <c r="M127" s="133" t="str">
        <f>IFERROR(_xlfn.XLOOKUP($A127,'Raw Data'!$G:$G,'Raw Data'!AF:AF),"")</f>
        <v/>
      </c>
      <c r="N127" s="133" t="str">
        <f>IFERROR(_xlfn.XLOOKUP($A127,'Raw Data'!$G:$G,'Raw Data'!AG:AG),"")</f>
        <v/>
      </c>
      <c r="O127" s="134" t="str">
        <f>IFERROR(1-SUMIF('Plant BD'!$H:$H,$A127,'Plant BD'!$AE:$AE)/($AA127+SUMIF('Plant BD'!$H:$H,$A127,'Plant BD'!$AE:$AE)),"")</f>
        <v/>
      </c>
      <c r="P127" s="134"/>
      <c r="Q127" s="135"/>
      <c r="R127" s="134" t="str">
        <f>IFERROR(1-SUMIF('Grid BD'!$H:$H,$A127,'Grid BD'!$AD:$AD)/($AA127+SUMIF('Grid BD'!$H:$H,$A127,'Grid BD'!$AD:$AD)),"")</f>
        <v/>
      </c>
      <c r="T127" s="135"/>
      <c r="U127" s="136" t="str">
        <f t="shared" si="9"/>
        <v/>
      </c>
      <c r="V127" s="136"/>
      <c r="W127" s="137" t="str">
        <f t="shared" si="10"/>
        <v/>
      </c>
      <c r="X127" s="130" t="str">
        <f>IFERROR(_xlfn.XLOOKUP($A127,'Raw Data'!$G:$G,'Raw Data'!AI:AI),"")</f>
        <v/>
      </c>
      <c r="Y127" s="130" t="str">
        <f>IFERROR(_xlfn.XLOOKUP($A127,'Raw Data'!$G:$G,'Raw Data'!AJ:AJ),"")</f>
        <v/>
      </c>
      <c r="Z127" s="130" t="str">
        <f>IFERROR(_xlfn.XLOOKUP($A127,'Raw Data'!$G:$G,'Raw Data'!AK:AK),"")</f>
        <v/>
      </c>
      <c r="AA127" s="130" t="str">
        <f>IFERROR(_xlfn.XLOOKUP($A127,'Raw Data'!$G:$G,'Raw Data'!AL:AL),"")</f>
        <v/>
      </c>
      <c r="AB127" s="130" t="str">
        <f>IFERROR(_xlfn.XLOOKUP($A127,'Raw Data'!$G:$G,'Raw Data'!H:H),"")</f>
        <v/>
      </c>
      <c r="AC127" s="76">
        <f>IFERROR(_xlfn.XLOOKUP($D127,'Modelling New'!$D:$D,'Modelling New'!P:P),"")</f>
        <v>4.2161290322580642</v>
      </c>
      <c r="AD127" s="130">
        <f>IFERROR(_xlfn.XLOOKUP($D127,'Modelling New'!$D:$D,'Modelling New'!$T:$T)*1000,"")</f>
        <v>24273.156786520856</v>
      </c>
      <c r="AE127" s="138">
        <f>IFERROR(_xlfn.XLOOKUP($D127,'Modelling New'!$D:$D,'Modelling New'!O:O),"")</f>
        <v>0.71777654975663252</v>
      </c>
      <c r="AF127" s="137">
        <f>IFERROR(_xlfn.XLOOKUP($D127,'Modelling New'!$D:$D,'Modelling New'!W:W),"")</f>
        <v>0.12609327292095679</v>
      </c>
      <c r="AG127" s="137">
        <f>IFERROR(_xlfn.XLOOKUP($D127,'Modelling New'!$D:$D,'Modelling New'!AE:AE),"")</f>
        <v>0.98040000000000005</v>
      </c>
      <c r="AH127" s="156">
        <f>IFERROR(_xlfn.XLOOKUP($D127,'Modelling New'!$D:$D,'Modelling New'!AF:AF),"")</f>
        <v>0.98</v>
      </c>
      <c r="AN127" s="134"/>
      <c r="AO127" s="137"/>
      <c r="AP127" s="137"/>
      <c r="AQ127" s="137"/>
      <c r="AR127" s="130">
        <f>'Basic Data'!$B$98/1000</f>
        <v>8.0208999999999993</v>
      </c>
    </row>
    <row r="128" spans="1:44" x14ac:dyDescent="0.3">
      <c r="A128" s="129">
        <f t="shared" si="11"/>
        <v>45871</v>
      </c>
      <c r="B128" s="130">
        <f>YEAR(Table13[[#This Row],[Date]])+IF(MONTH(Table13[[#This Row],[Date]])&gt;=4,1,0)</f>
        <v>2026</v>
      </c>
      <c r="C128" s="7">
        <f>YEAR(Table13[[#This Row],[Date]])</f>
        <v>2025</v>
      </c>
      <c r="D128" s="131">
        <f>Table13[[#This Row],[Date]]-DAY(Table13[[#This Row],[Date]])+1</f>
        <v>45870</v>
      </c>
      <c r="E128" s="7">
        <f t="shared" si="8"/>
        <v>31</v>
      </c>
      <c r="F128" s="132" t="str">
        <f>IFERROR(_xlfn.XLOOKUP($A128,'Raw Data'!$G:$G,'Raw Data'!$AM:$AM),"")</f>
        <v/>
      </c>
      <c r="G128" s="133" t="str">
        <f>IFERROR(_xlfn.XLOOKUP($A128,'Raw Data'!$G:$G,'Raw Data'!$AB:$AB),"")</f>
        <v/>
      </c>
      <c r="H128" s="133"/>
      <c r="I128" s="133" t="str">
        <f>IFERROR(_xlfn.XLOOKUP($A128,'Raw Data'!$G:$G,'Raw Data'!$AC:$AC),"")</f>
        <v/>
      </c>
      <c r="J128" s="133"/>
      <c r="K128" s="133" t="str">
        <f>IFERROR(_xlfn.XLOOKUP($A128,'Raw Data'!$G:$G,'Raw Data'!AD:AD),"")</f>
        <v/>
      </c>
      <c r="L128" s="133" t="str">
        <f>IFERROR(_xlfn.XLOOKUP($A128,'Raw Data'!$G:$G,'Raw Data'!AE:AE),"")</f>
        <v/>
      </c>
      <c r="M128" s="133" t="str">
        <f>IFERROR(_xlfn.XLOOKUP($A128,'Raw Data'!$G:$G,'Raw Data'!AF:AF),"")</f>
        <v/>
      </c>
      <c r="N128" s="133" t="str">
        <f>IFERROR(_xlfn.XLOOKUP($A128,'Raw Data'!$G:$G,'Raw Data'!AG:AG),"")</f>
        <v/>
      </c>
      <c r="O128" s="134" t="str">
        <f>IFERROR(1-SUMIF('Plant BD'!$H:$H,$A128,'Plant BD'!$AE:$AE)/($AA128+SUMIF('Plant BD'!$H:$H,$A128,'Plant BD'!$AE:$AE)),"")</f>
        <v/>
      </c>
      <c r="P128" s="134"/>
      <c r="Q128" s="135"/>
      <c r="R128" s="134" t="str">
        <f>IFERROR(1-SUMIF('Grid BD'!$H:$H,$A128,'Grid BD'!$AD:$AD)/($AA128+SUMIF('Grid BD'!$H:$H,$A128,'Grid BD'!$AD:$AD)),"")</f>
        <v/>
      </c>
      <c r="T128" s="135"/>
      <c r="U128" s="136" t="str">
        <f t="shared" si="9"/>
        <v/>
      </c>
      <c r="V128" s="136"/>
      <c r="W128" s="137" t="str">
        <f t="shared" si="10"/>
        <v/>
      </c>
      <c r="X128" s="130" t="str">
        <f>IFERROR(_xlfn.XLOOKUP($A128,'Raw Data'!$G:$G,'Raw Data'!AI:AI),"")</f>
        <v/>
      </c>
      <c r="Y128" s="130" t="str">
        <f>IFERROR(_xlfn.XLOOKUP($A128,'Raw Data'!$G:$G,'Raw Data'!AJ:AJ),"")</f>
        <v/>
      </c>
      <c r="Z128" s="130" t="str">
        <f>IFERROR(_xlfn.XLOOKUP($A128,'Raw Data'!$G:$G,'Raw Data'!AK:AK),"")</f>
        <v/>
      </c>
      <c r="AA128" s="130" t="str">
        <f>IFERROR(_xlfn.XLOOKUP($A128,'Raw Data'!$G:$G,'Raw Data'!AL:AL),"")</f>
        <v/>
      </c>
      <c r="AB128" s="130" t="str">
        <f>IFERROR(_xlfn.XLOOKUP($A128,'Raw Data'!$G:$G,'Raw Data'!H:H),"")</f>
        <v/>
      </c>
      <c r="AC128" s="76">
        <f>IFERROR(_xlfn.XLOOKUP($D128,'Modelling New'!$D:$D,'Modelling New'!P:P),"")</f>
        <v>4.2161290322580642</v>
      </c>
      <c r="AD128" s="130">
        <f>IFERROR(_xlfn.XLOOKUP($D128,'Modelling New'!$D:$D,'Modelling New'!$T:$T)*1000,"")</f>
        <v>24273.156786520856</v>
      </c>
      <c r="AE128" s="138">
        <f>IFERROR(_xlfn.XLOOKUP($D128,'Modelling New'!$D:$D,'Modelling New'!O:O),"")</f>
        <v>0.71777654975663252</v>
      </c>
      <c r="AF128" s="137">
        <f>IFERROR(_xlfn.XLOOKUP($D128,'Modelling New'!$D:$D,'Modelling New'!W:W),"")</f>
        <v>0.12609327292095679</v>
      </c>
      <c r="AG128" s="137">
        <f>IFERROR(_xlfn.XLOOKUP($D128,'Modelling New'!$D:$D,'Modelling New'!AE:AE),"")</f>
        <v>0.98040000000000005</v>
      </c>
      <c r="AH128" s="156">
        <f>IFERROR(_xlfn.XLOOKUP($D128,'Modelling New'!$D:$D,'Modelling New'!AF:AF),"")</f>
        <v>0.98</v>
      </c>
      <c r="AN128" s="134"/>
      <c r="AO128" s="137"/>
      <c r="AP128" s="137"/>
      <c r="AQ128" s="137"/>
      <c r="AR128" s="130">
        <f>'Basic Data'!$B$98/1000</f>
        <v>8.0208999999999993</v>
      </c>
    </row>
    <row r="129" spans="1:44" x14ac:dyDescent="0.3">
      <c r="A129" s="129">
        <f t="shared" si="11"/>
        <v>45872</v>
      </c>
      <c r="B129" s="130">
        <f>YEAR(Table13[[#This Row],[Date]])+IF(MONTH(Table13[[#This Row],[Date]])&gt;=4,1,0)</f>
        <v>2026</v>
      </c>
      <c r="C129" s="7">
        <f>YEAR(Table13[[#This Row],[Date]])</f>
        <v>2025</v>
      </c>
      <c r="D129" s="131">
        <f>Table13[[#This Row],[Date]]-DAY(Table13[[#This Row],[Date]])+1</f>
        <v>45870</v>
      </c>
      <c r="E129" s="7">
        <f t="shared" si="8"/>
        <v>31</v>
      </c>
      <c r="F129" s="132" t="str">
        <f>IFERROR(_xlfn.XLOOKUP($A129,'Raw Data'!$G:$G,'Raw Data'!$AM:$AM),"")</f>
        <v/>
      </c>
      <c r="G129" s="133" t="str">
        <f>IFERROR(_xlfn.XLOOKUP($A129,'Raw Data'!$G:$G,'Raw Data'!$AB:$AB),"")</f>
        <v/>
      </c>
      <c r="H129" s="133"/>
      <c r="I129" s="133" t="str">
        <f>IFERROR(_xlfn.XLOOKUP($A129,'Raw Data'!$G:$G,'Raw Data'!$AC:$AC),"")</f>
        <v/>
      </c>
      <c r="J129" s="133"/>
      <c r="K129" s="133" t="str">
        <f>IFERROR(_xlfn.XLOOKUP($A129,'Raw Data'!$G:$G,'Raw Data'!AD:AD),"")</f>
        <v/>
      </c>
      <c r="L129" s="133" t="str">
        <f>IFERROR(_xlfn.XLOOKUP($A129,'Raw Data'!$G:$G,'Raw Data'!AE:AE),"")</f>
        <v/>
      </c>
      <c r="M129" s="133" t="str">
        <f>IFERROR(_xlfn.XLOOKUP($A129,'Raw Data'!$G:$G,'Raw Data'!AF:AF),"")</f>
        <v/>
      </c>
      <c r="N129" s="133" t="str">
        <f>IFERROR(_xlfn.XLOOKUP($A129,'Raw Data'!$G:$G,'Raw Data'!AG:AG),"")</f>
        <v/>
      </c>
      <c r="O129" s="134" t="str">
        <f>IFERROR(1-SUMIF('Plant BD'!$H:$H,$A129,'Plant BD'!$AE:$AE)/($AA129+SUMIF('Plant BD'!$H:$H,$A129,'Plant BD'!$AE:$AE)),"")</f>
        <v/>
      </c>
      <c r="P129" s="134"/>
      <c r="Q129" s="135"/>
      <c r="R129" s="134" t="str">
        <f>IFERROR(1-SUMIF('Grid BD'!$H:$H,$A129,'Grid BD'!$AD:$AD)/($AA129+SUMIF('Grid BD'!$H:$H,$A129,'Grid BD'!$AD:$AD)),"")</f>
        <v/>
      </c>
      <c r="T129" s="135"/>
      <c r="U129" s="136" t="str">
        <f t="shared" si="9"/>
        <v/>
      </c>
      <c r="V129" s="136"/>
      <c r="W129" s="137" t="str">
        <f t="shared" si="10"/>
        <v/>
      </c>
      <c r="X129" s="130" t="str">
        <f>IFERROR(_xlfn.XLOOKUP($A129,'Raw Data'!$G:$G,'Raw Data'!AI:AI),"")</f>
        <v/>
      </c>
      <c r="Y129" s="130" t="str">
        <f>IFERROR(_xlfn.XLOOKUP($A129,'Raw Data'!$G:$G,'Raw Data'!AJ:AJ),"")</f>
        <v/>
      </c>
      <c r="Z129" s="130" t="str">
        <f>IFERROR(_xlfn.XLOOKUP($A129,'Raw Data'!$G:$G,'Raw Data'!AK:AK),"")</f>
        <v/>
      </c>
      <c r="AA129" s="130" t="str">
        <f>IFERROR(_xlfn.XLOOKUP($A129,'Raw Data'!$G:$G,'Raw Data'!AL:AL),"")</f>
        <v/>
      </c>
      <c r="AB129" s="130" t="str">
        <f>IFERROR(_xlfn.XLOOKUP($A129,'Raw Data'!$G:$G,'Raw Data'!H:H),"")</f>
        <v/>
      </c>
      <c r="AC129" s="76">
        <f>IFERROR(_xlfn.XLOOKUP($D129,'Modelling New'!$D:$D,'Modelling New'!P:P),"")</f>
        <v>4.2161290322580642</v>
      </c>
      <c r="AD129" s="130">
        <f>IFERROR(_xlfn.XLOOKUP($D129,'Modelling New'!$D:$D,'Modelling New'!$T:$T)*1000,"")</f>
        <v>24273.156786520856</v>
      </c>
      <c r="AE129" s="138">
        <f>IFERROR(_xlfn.XLOOKUP($D129,'Modelling New'!$D:$D,'Modelling New'!O:O),"")</f>
        <v>0.71777654975663252</v>
      </c>
      <c r="AF129" s="137">
        <f>IFERROR(_xlfn.XLOOKUP($D129,'Modelling New'!$D:$D,'Modelling New'!W:W),"")</f>
        <v>0.12609327292095679</v>
      </c>
      <c r="AG129" s="137">
        <f>IFERROR(_xlfn.XLOOKUP($D129,'Modelling New'!$D:$D,'Modelling New'!AE:AE),"")</f>
        <v>0.98040000000000005</v>
      </c>
      <c r="AH129" s="156">
        <f>IFERROR(_xlfn.XLOOKUP($D129,'Modelling New'!$D:$D,'Modelling New'!AF:AF),"")</f>
        <v>0.98</v>
      </c>
      <c r="AN129" s="134"/>
      <c r="AO129" s="137"/>
      <c r="AP129" s="137"/>
      <c r="AQ129" s="137"/>
      <c r="AR129" s="130">
        <f>'Basic Data'!$B$98/1000</f>
        <v>8.0208999999999993</v>
      </c>
    </row>
    <row r="130" spans="1:44" x14ac:dyDescent="0.3">
      <c r="A130" s="129">
        <f t="shared" si="11"/>
        <v>45873</v>
      </c>
      <c r="B130" s="130">
        <f>YEAR(Table13[[#This Row],[Date]])+IF(MONTH(Table13[[#This Row],[Date]])&gt;=4,1,0)</f>
        <v>2026</v>
      </c>
      <c r="C130" s="7">
        <f>YEAR(Table13[[#This Row],[Date]])</f>
        <v>2025</v>
      </c>
      <c r="D130" s="131">
        <f>Table13[[#This Row],[Date]]-DAY(Table13[[#This Row],[Date]])+1</f>
        <v>45870</v>
      </c>
      <c r="E130" s="7">
        <f t="shared" si="8"/>
        <v>31</v>
      </c>
      <c r="F130" s="132" t="str">
        <f>IFERROR(_xlfn.XLOOKUP($A130,'Raw Data'!$G:$G,'Raw Data'!$AM:$AM),"")</f>
        <v/>
      </c>
      <c r="G130" s="133" t="str">
        <f>IFERROR(_xlfn.XLOOKUP($A130,'Raw Data'!$G:$G,'Raw Data'!$AB:$AB),"")</f>
        <v/>
      </c>
      <c r="H130" s="133"/>
      <c r="I130" s="133" t="str">
        <f>IFERROR(_xlfn.XLOOKUP($A130,'Raw Data'!$G:$G,'Raw Data'!$AC:$AC),"")</f>
        <v/>
      </c>
      <c r="J130" s="133"/>
      <c r="K130" s="133" t="str">
        <f>IFERROR(_xlfn.XLOOKUP($A130,'Raw Data'!$G:$G,'Raw Data'!AD:AD),"")</f>
        <v/>
      </c>
      <c r="L130" s="133" t="str">
        <f>IFERROR(_xlfn.XLOOKUP($A130,'Raw Data'!$G:$G,'Raw Data'!AE:AE),"")</f>
        <v/>
      </c>
      <c r="M130" s="133" t="str">
        <f>IFERROR(_xlfn.XLOOKUP($A130,'Raw Data'!$G:$G,'Raw Data'!AF:AF),"")</f>
        <v/>
      </c>
      <c r="N130" s="133" t="str">
        <f>IFERROR(_xlfn.XLOOKUP($A130,'Raw Data'!$G:$G,'Raw Data'!AG:AG),"")</f>
        <v/>
      </c>
      <c r="O130" s="134" t="str">
        <f>IFERROR(1-SUMIF('Plant BD'!$H:$H,$A130,'Plant BD'!$AE:$AE)/($AA130+SUMIF('Plant BD'!$H:$H,$A130,'Plant BD'!$AE:$AE)),"")</f>
        <v/>
      </c>
      <c r="P130" s="134"/>
      <c r="Q130" s="135"/>
      <c r="R130" s="134" t="str">
        <f>IFERROR(1-SUMIF('Grid BD'!$H:$H,$A130,'Grid BD'!$AD:$AD)/($AA130+SUMIF('Grid BD'!$H:$H,$A130,'Grid BD'!$AD:$AD)),"")</f>
        <v/>
      </c>
      <c r="T130" s="135"/>
      <c r="U130" s="136" t="str">
        <f t="shared" si="9"/>
        <v/>
      </c>
      <c r="V130" s="136"/>
      <c r="W130" s="137" t="str">
        <f t="shared" si="10"/>
        <v/>
      </c>
      <c r="X130" s="130" t="str">
        <f>IFERROR(_xlfn.XLOOKUP($A130,'Raw Data'!$G:$G,'Raw Data'!AI:AI),"")</f>
        <v/>
      </c>
      <c r="Y130" s="130" t="str">
        <f>IFERROR(_xlfn.XLOOKUP($A130,'Raw Data'!$G:$G,'Raw Data'!AJ:AJ),"")</f>
        <v/>
      </c>
      <c r="Z130" s="130" t="str">
        <f>IFERROR(_xlfn.XLOOKUP($A130,'Raw Data'!$G:$G,'Raw Data'!AK:AK),"")</f>
        <v/>
      </c>
      <c r="AA130" s="130" t="str">
        <f>IFERROR(_xlfn.XLOOKUP($A130,'Raw Data'!$G:$G,'Raw Data'!AL:AL),"")</f>
        <v/>
      </c>
      <c r="AB130" s="130" t="str">
        <f>IFERROR(_xlfn.XLOOKUP($A130,'Raw Data'!$G:$G,'Raw Data'!H:H),"")</f>
        <v/>
      </c>
      <c r="AC130" s="76">
        <f>IFERROR(_xlfn.XLOOKUP($D130,'Modelling New'!$D:$D,'Modelling New'!P:P),"")</f>
        <v>4.2161290322580642</v>
      </c>
      <c r="AD130" s="130">
        <f>IFERROR(_xlfn.XLOOKUP($D130,'Modelling New'!$D:$D,'Modelling New'!$T:$T)*1000,"")</f>
        <v>24273.156786520856</v>
      </c>
      <c r="AE130" s="138">
        <f>IFERROR(_xlfn.XLOOKUP($D130,'Modelling New'!$D:$D,'Modelling New'!O:O),"")</f>
        <v>0.71777654975663252</v>
      </c>
      <c r="AF130" s="137">
        <f>IFERROR(_xlfn.XLOOKUP($D130,'Modelling New'!$D:$D,'Modelling New'!W:W),"")</f>
        <v>0.12609327292095679</v>
      </c>
      <c r="AG130" s="137">
        <f>IFERROR(_xlfn.XLOOKUP($D130,'Modelling New'!$D:$D,'Modelling New'!AE:AE),"")</f>
        <v>0.98040000000000005</v>
      </c>
      <c r="AH130" s="156">
        <f>IFERROR(_xlfn.XLOOKUP($D130,'Modelling New'!$D:$D,'Modelling New'!AF:AF),"")</f>
        <v>0.98</v>
      </c>
      <c r="AN130" s="134"/>
      <c r="AO130" s="137"/>
      <c r="AP130" s="137"/>
      <c r="AQ130" s="137"/>
      <c r="AR130" s="130">
        <f>'Basic Data'!$B$98/1000</f>
        <v>8.0208999999999993</v>
      </c>
    </row>
    <row r="131" spans="1:44" x14ac:dyDescent="0.3">
      <c r="A131" s="129">
        <f t="shared" si="11"/>
        <v>45874</v>
      </c>
      <c r="B131" s="130">
        <f>YEAR(Table13[[#This Row],[Date]])+IF(MONTH(Table13[[#This Row],[Date]])&gt;=4,1,0)</f>
        <v>2026</v>
      </c>
      <c r="C131" s="7">
        <f>YEAR(Table13[[#This Row],[Date]])</f>
        <v>2025</v>
      </c>
      <c r="D131" s="131">
        <f>Table13[[#This Row],[Date]]-DAY(Table13[[#This Row],[Date]])+1</f>
        <v>45870</v>
      </c>
      <c r="E131" s="7">
        <f t="shared" si="8"/>
        <v>31</v>
      </c>
      <c r="F131" s="132" t="str">
        <f>IFERROR(_xlfn.XLOOKUP($A131,'Raw Data'!$G:$G,'Raw Data'!$AM:$AM),"")</f>
        <v/>
      </c>
      <c r="G131" s="133" t="str">
        <f>IFERROR(_xlfn.XLOOKUP($A131,'Raw Data'!$G:$G,'Raw Data'!$AB:$AB),"")</f>
        <v/>
      </c>
      <c r="H131" s="133"/>
      <c r="I131" s="133" t="str">
        <f>IFERROR(_xlfn.XLOOKUP($A131,'Raw Data'!$G:$G,'Raw Data'!$AC:$AC),"")</f>
        <v/>
      </c>
      <c r="J131" s="133"/>
      <c r="K131" s="133" t="str">
        <f>IFERROR(_xlfn.XLOOKUP($A131,'Raw Data'!$G:$G,'Raw Data'!AD:AD),"")</f>
        <v/>
      </c>
      <c r="L131" s="133" t="str">
        <f>IFERROR(_xlfn.XLOOKUP($A131,'Raw Data'!$G:$G,'Raw Data'!AE:AE),"")</f>
        <v/>
      </c>
      <c r="M131" s="133" t="str">
        <f>IFERROR(_xlfn.XLOOKUP($A131,'Raw Data'!$G:$G,'Raw Data'!AF:AF),"")</f>
        <v/>
      </c>
      <c r="N131" s="133" t="str">
        <f>IFERROR(_xlfn.XLOOKUP($A131,'Raw Data'!$G:$G,'Raw Data'!AG:AG),"")</f>
        <v/>
      </c>
      <c r="O131" s="134" t="str">
        <f>IFERROR(1-SUMIF('Plant BD'!$H:$H,$A131,'Plant BD'!$AE:$AE)/($AA131+SUMIF('Plant BD'!$H:$H,$A131,'Plant BD'!$AE:$AE)),"")</f>
        <v/>
      </c>
      <c r="P131" s="134"/>
      <c r="Q131" s="135"/>
      <c r="R131" s="134" t="str">
        <f>IFERROR(1-SUMIF('Grid BD'!$H:$H,$A131,'Grid BD'!$AD:$AD)/($AA131+SUMIF('Grid BD'!$H:$H,$A131,'Grid BD'!$AD:$AD)),"")</f>
        <v/>
      </c>
      <c r="T131" s="135"/>
      <c r="U131" s="136" t="str">
        <f t="shared" si="9"/>
        <v/>
      </c>
      <c r="V131" s="136"/>
      <c r="W131" s="137" t="str">
        <f t="shared" si="10"/>
        <v/>
      </c>
      <c r="X131" s="130" t="str">
        <f>IFERROR(_xlfn.XLOOKUP($A131,'Raw Data'!$G:$G,'Raw Data'!AI:AI),"")</f>
        <v/>
      </c>
      <c r="Y131" s="130" t="str">
        <f>IFERROR(_xlfn.XLOOKUP($A131,'Raw Data'!$G:$G,'Raw Data'!AJ:AJ),"")</f>
        <v/>
      </c>
      <c r="Z131" s="130" t="str">
        <f>IFERROR(_xlfn.XLOOKUP($A131,'Raw Data'!$G:$G,'Raw Data'!AK:AK),"")</f>
        <v/>
      </c>
      <c r="AA131" s="130" t="str">
        <f>IFERROR(_xlfn.XLOOKUP($A131,'Raw Data'!$G:$G,'Raw Data'!AL:AL),"")</f>
        <v/>
      </c>
      <c r="AB131" s="130" t="str">
        <f>IFERROR(_xlfn.XLOOKUP($A131,'Raw Data'!$G:$G,'Raw Data'!H:H),"")</f>
        <v/>
      </c>
      <c r="AC131" s="76">
        <f>IFERROR(_xlfn.XLOOKUP($D131,'Modelling New'!$D:$D,'Modelling New'!P:P),"")</f>
        <v>4.2161290322580642</v>
      </c>
      <c r="AD131" s="130">
        <f>IFERROR(_xlfn.XLOOKUP($D131,'Modelling New'!$D:$D,'Modelling New'!$T:$T)*1000,"")</f>
        <v>24273.156786520856</v>
      </c>
      <c r="AE131" s="138">
        <f>IFERROR(_xlfn.XLOOKUP($D131,'Modelling New'!$D:$D,'Modelling New'!O:O),"")</f>
        <v>0.71777654975663252</v>
      </c>
      <c r="AF131" s="137">
        <f>IFERROR(_xlfn.XLOOKUP($D131,'Modelling New'!$D:$D,'Modelling New'!W:W),"")</f>
        <v>0.12609327292095679</v>
      </c>
      <c r="AG131" s="137">
        <f>IFERROR(_xlfn.XLOOKUP($D131,'Modelling New'!$D:$D,'Modelling New'!AE:AE),"")</f>
        <v>0.98040000000000005</v>
      </c>
      <c r="AH131" s="156">
        <f>IFERROR(_xlfn.XLOOKUP($D131,'Modelling New'!$D:$D,'Modelling New'!AF:AF),"")</f>
        <v>0.98</v>
      </c>
      <c r="AN131" s="134"/>
      <c r="AO131" s="137"/>
      <c r="AP131" s="137"/>
      <c r="AQ131" s="137"/>
      <c r="AR131" s="130">
        <f>'Basic Data'!$B$98/1000</f>
        <v>8.0208999999999993</v>
      </c>
    </row>
    <row r="132" spans="1:44" x14ac:dyDescent="0.3">
      <c r="A132" s="129">
        <f t="shared" si="11"/>
        <v>45875</v>
      </c>
      <c r="B132" s="130">
        <f>YEAR(Table13[[#This Row],[Date]])+IF(MONTH(Table13[[#This Row],[Date]])&gt;=4,1,0)</f>
        <v>2026</v>
      </c>
      <c r="C132" s="7">
        <f>YEAR(Table13[[#This Row],[Date]])</f>
        <v>2025</v>
      </c>
      <c r="D132" s="131">
        <f>Table13[[#This Row],[Date]]-DAY(Table13[[#This Row],[Date]])+1</f>
        <v>45870</v>
      </c>
      <c r="E132" s="7">
        <f t="shared" si="8"/>
        <v>31</v>
      </c>
      <c r="F132" s="132" t="str">
        <f>IFERROR(_xlfn.XLOOKUP($A132,'Raw Data'!$G:$G,'Raw Data'!$AM:$AM),"")</f>
        <v/>
      </c>
      <c r="G132" s="133" t="str">
        <f>IFERROR(_xlfn.XLOOKUP($A132,'Raw Data'!$G:$G,'Raw Data'!$AB:$AB),"")</f>
        <v/>
      </c>
      <c r="H132" s="133"/>
      <c r="I132" s="133" t="str">
        <f>IFERROR(_xlfn.XLOOKUP($A132,'Raw Data'!$G:$G,'Raw Data'!$AC:$AC),"")</f>
        <v/>
      </c>
      <c r="J132" s="133"/>
      <c r="K132" s="133" t="str">
        <f>IFERROR(_xlfn.XLOOKUP($A132,'Raw Data'!$G:$G,'Raw Data'!AD:AD),"")</f>
        <v/>
      </c>
      <c r="L132" s="133" t="str">
        <f>IFERROR(_xlfn.XLOOKUP($A132,'Raw Data'!$G:$G,'Raw Data'!AE:AE),"")</f>
        <v/>
      </c>
      <c r="M132" s="133" t="str">
        <f>IFERROR(_xlfn.XLOOKUP($A132,'Raw Data'!$G:$G,'Raw Data'!AF:AF),"")</f>
        <v/>
      </c>
      <c r="N132" s="133" t="str">
        <f>IFERROR(_xlfn.XLOOKUP($A132,'Raw Data'!$G:$G,'Raw Data'!AG:AG),"")</f>
        <v/>
      </c>
      <c r="O132" s="134" t="str">
        <f>IFERROR(1-SUMIF('Plant BD'!$H:$H,$A132,'Plant BD'!$AE:$AE)/($AA132+SUMIF('Plant BD'!$H:$H,$A132,'Plant BD'!$AE:$AE)),"")</f>
        <v/>
      </c>
      <c r="P132" s="134"/>
      <c r="Q132" s="135"/>
      <c r="R132" s="134" t="str">
        <f>IFERROR(1-SUMIF('Grid BD'!$H:$H,$A132,'Grid BD'!$AD:$AD)/($AA132+SUMIF('Grid BD'!$H:$H,$A132,'Grid BD'!$AD:$AD)),"")</f>
        <v/>
      </c>
      <c r="T132" s="135"/>
      <c r="U132" s="136" t="str">
        <f t="shared" si="9"/>
        <v/>
      </c>
      <c r="V132" s="136"/>
      <c r="W132" s="137" t="str">
        <f t="shared" si="10"/>
        <v/>
      </c>
      <c r="X132" s="130" t="str">
        <f>IFERROR(_xlfn.XLOOKUP($A132,'Raw Data'!$G:$G,'Raw Data'!AI:AI),"")</f>
        <v/>
      </c>
      <c r="Y132" s="130" t="str">
        <f>IFERROR(_xlfn.XLOOKUP($A132,'Raw Data'!$G:$G,'Raw Data'!AJ:AJ),"")</f>
        <v/>
      </c>
      <c r="Z132" s="130" t="str">
        <f>IFERROR(_xlfn.XLOOKUP($A132,'Raw Data'!$G:$G,'Raw Data'!AK:AK),"")</f>
        <v/>
      </c>
      <c r="AA132" s="130" t="str">
        <f>IFERROR(_xlfn.XLOOKUP($A132,'Raw Data'!$G:$G,'Raw Data'!AL:AL),"")</f>
        <v/>
      </c>
      <c r="AB132" s="130" t="str">
        <f>IFERROR(_xlfn.XLOOKUP($A132,'Raw Data'!$G:$G,'Raw Data'!H:H),"")</f>
        <v/>
      </c>
      <c r="AC132" s="76">
        <f>IFERROR(_xlfn.XLOOKUP($D132,'Modelling New'!$D:$D,'Modelling New'!P:P),"")</f>
        <v>4.2161290322580642</v>
      </c>
      <c r="AD132" s="130">
        <f>IFERROR(_xlfn.XLOOKUP($D132,'Modelling New'!$D:$D,'Modelling New'!$T:$T)*1000,"")</f>
        <v>24273.156786520856</v>
      </c>
      <c r="AE132" s="138">
        <f>IFERROR(_xlfn.XLOOKUP($D132,'Modelling New'!$D:$D,'Modelling New'!O:O),"")</f>
        <v>0.71777654975663252</v>
      </c>
      <c r="AF132" s="137">
        <f>IFERROR(_xlfn.XLOOKUP($D132,'Modelling New'!$D:$D,'Modelling New'!W:W),"")</f>
        <v>0.12609327292095679</v>
      </c>
      <c r="AG132" s="137">
        <f>IFERROR(_xlfn.XLOOKUP($D132,'Modelling New'!$D:$D,'Modelling New'!AE:AE),"")</f>
        <v>0.98040000000000005</v>
      </c>
      <c r="AH132" s="156">
        <f>IFERROR(_xlfn.XLOOKUP($D132,'Modelling New'!$D:$D,'Modelling New'!AF:AF),"")</f>
        <v>0.98</v>
      </c>
      <c r="AN132" s="134"/>
      <c r="AO132" s="137"/>
      <c r="AP132" s="137"/>
      <c r="AQ132" s="137"/>
      <c r="AR132" s="130">
        <f>'Basic Data'!$B$98/1000</f>
        <v>8.0208999999999993</v>
      </c>
    </row>
    <row r="133" spans="1:44" x14ac:dyDescent="0.3">
      <c r="A133" s="129">
        <f t="shared" si="11"/>
        <v>45876</v>
      </c>
      <c r="B133" s="130">
        <f>YEAR(Table13[[#This Row],[Date]])+IF(MONTH(Table13[[#This Row],[Date]])&gt;=4,1,0)</f>
        <v>2026</v>
      </c>
      <c r="C133" s="7">
        <f>YEAR(Table13[[#This Row],[Date]])</f>
        <v>2025</v>
      </c>
      <c r="D133" s="131">
        <f>Table13[[#This Row],[Date]]-DAY(Table13[[#This Row],[Date]])+1</f>
        <v>45870</v>
      </c>
      <c r="E133" s="7">
        <f t="shared" si="8"/>
        <v>31</v>
      </c>
      <c r="F133" s="132" t="str">
        <f>IFERROR(_xlfn.XLOOKUP($A133,'Raw Data'!$G:$G,'Raw Data'!$AM:$AM),"")</f>
        <v/>
      </c>
      <c r="G133" s="133" t="str">
        <f>IFERROR(_xlfn.XLOOKUP($A133,'Raw Data'!$G:$G,'Raw Data'!$AB:$AB),"")</f>
        <v/>
      </c>
      <c r="H133" s="133"/>
      <c r="I133" s="133" t="str">
        <f>IFERROR(_xlfn.XLOOKUP($A133,'Raw Data'!$G:$G,'Raw Data'!$AC:$AC),"")</f>
        <v/>
      </c>
      <c r="J133" s="133"/>
      <c r="K133" s="133" t="str">
        <f>IFERROR(_xlfn.XLOOKUP($A133,'Raw Data'!$G:$G,'Raw Data'!AD:AD),"")</f>
        <v/>
      </c>
      <c r="L133" s="133" t="str">
        <f>IFERROR(_xlfn.XLOOKUP($A133,'Raw Data'!$G:$G,'Raw Data'!AE:AE),"")</f>
        <v/>
      </c>
      <c r="M133" s="133" t="str">
        <f>IFERROR(_xlfn.XLOOKUP($A133,'Raw Data'!$G:$G,'Raw Data'!AF:AF),"")</f>
        <v/>
      </c>
      <c r="N133" s="133" t="str">
        <f>IFERROR(_xlfn.XLOOKUP($A133,'Raw Data'!$G:$G,'Raw Data'!AG:AG),"")</f>
        <v/>
      </c>
      <c r="O133" s="134" t="str">
        <f>IFERROR(1-SUMIF('Plant BD'!$H:$H,$A133,'Plant BD'!$AE:$AE)/($AA133+SUMIF('Plant BD'!$H:$H,$A133,'Plant BD'!$AE:$AE)),"")</f>
        <v/>
      </c>
      <c r="P133" s="134"/>
      <c r="Q133" s="135"/>
      <c r="R133" s="134" t="str">
        <f>IFERROR(1-SUMIF('Grid BD'!$H:$H,$A133,'Grid BD'!$AD:$AD)/($AA133+SUMIF('Grid BD'!$H:$H,$A133,'Grid BD'!$AD:$AD)),"")</f>
        <v/>
      </c>
      <c r="T133" s="135"/>
      <c r="U133" s="136" t="str">
        <f t="shared" si="9"/>
        <v/>
      </c>
      <c r="V133" s="136"/>
      <c r="W133" s="137" t="str">
        <f t="shared" si="10"/>
        <v/>
      </c>
      <c r="X133" s="130" t="str">
        <f>IFERROR(_xlfn.XLOOKUP($A133,'Raw Data'!$G:$G,'Raw Data'!AI:AI),"")</f>
        <v/>
      </c>
      <c r="Y133" s="130" t="str">
        <f>IFERROR(_xlfn.XLOOKUP($A133,'Raw Data'!$G:$G,'Raw Data'!AJ:AJ),"")</f>
        <v/>
      </c>
      <c r="Z133" s="130" t="str">
        <f>IFERROR(_xlfn.XLOOKUP($A133,'Raw Data'!$G:$G,'Raw Data'!AK:AK),"")</f>
        <v/>
      </c>
      <c r="AA133" s="130" t="str">
        <f>IFERROR(_xlfn.XLOOKUP($A133,'Raw Data'!$G:$G,'Raw Data'!AL:AL),"")</f>
        <v/>
      </c>
      <c r="AB133" s="130" t="str">
        <f>IFERROR(_xlfn.XLOOKUP($A133,'Raw Data'!$G:$G,'Raw Data'!H:H),"")</f>
        <v/>
      </c>
      <c r="AC133" s="76">
        <f>IFERROR(_xlfn.XLOOKUP($D133,'Modelling New'!$D:$D,'Modelling New'!P:P),"")</f>
        <v>4.2161290322580642</v>
      </c>
      <c r="AD133" s="130">
        <f>IFERROR(_xlfn.XLOOKUP($D133,'Modelling New'!$D:$D,'Modelling New'!$T:$T)*1000,"")</f>
        <v>24273.156786520856</v>
      </c>
      <c r="AE133" s="138">
        <f>IFERROR(_xlfn.XLOOKUP($D133,'Modelling New'!$D:$D,'Modelling New'!O:O),"")</f>
        <v>0.71777654975663252</v>
      </c>
      <c r="AF133" s="137">
        <f>IFERROR(_xlfn.XLOOKUP($D133,'Modelling New'!$D:$D,'Modelling New'!W:W),"")</f>
        <v>0.12609327292095679</v>
      </c>
      <c r="AG133" s="137">
        <f>IFERROR(_xlfn.XLOOKUP($D133,'Modelling New'!$D:$D,'Modelling New'!AE:AE),"")</f>
        <v>0.98040000000000005</v>
      </c>
      <c r="AH133" s="156">
        <f>IFERROR(_xlfn.XLOOKUP($D133,'Modelling New'!$D:$D,'Modelling New'!AF:AF),"")</f>
        <v>0.98</v>
      </c>
      <c r="AN133" s="134"/>
      <c r="AO133" s="137"/>
      <c r="AP133" s="137"/>
      <c r="AQ133" s="137"/>
      <c r="AR133" s="130">
        <f>'Basic Data'!$B$98/1000</f>
        <v>8.0208999999999993</v>
      </c>
    </row>
    <row r="134" spans="1:44" x14ac:dyDescent="0.3">
      <c r="A134" s="129">
        <f t="shared" si="11"/>
        <v>45877</v>
      </c>
      <c r="B134" s="130">
        <f>YEAR(Table13[[#This Row],[Date]])+IF(MONTH(Table13[[#This Row],[Date]])&gt;=4,1,0)</f>
        <v>2026</v>
      </c>
      <c r="C134" s="7">
        <f>YEAR(Table13[[#This Row],[Date]])</f>
        <v>2025</v>
      </c>
      <c r="D134" s="131">
        <f>Table13[[#This Row],[Date]]-DAY(Table13[[#This Row],[Date]])+1</f>
        <v>45870</v>
      </c>
      <c r="E134" s="7">
        <f t="shared" si="8"/>
        <v>31</v>
      </c>
      <c r="F134" s="132" t="str">
        <f>IFERROR(_xlfn.XLOOKUP($A134,'Raw Data'!$G:$G,'Raw Data'!$AM:$AM),"")</f>
        <v/>
      </c>
      <c r="G134" s="133" t="str">
        <f>IFERROR(_xlfn.XLOOKUP($A134,'Raw Data'!$G:$G,'Raw Data'!$AB:$AB),"")</f>
        <v/>
      </c>
      <c r="H134" s="133"/>
      <c r="I134" s="133" t="str">
        <f>IFERROR(_xlfn.XLOOKUP($A134,'Raw Data'!$G:$G,'Raw Data'!$AC:$AC),"")</f>
        <v/>
      </c>
      <c r="J134" s="133"/>
      <c r="K134" s="133" t="str">
        <f>IFERROR(_xlfn.XLOOKUP($A134,'Raw Data'!$G:$G,'Raw Data'!AD:AD),"")</f>
        <v/>
      </c>
      <c r="L134" s="133" t="str">
        <f>IFERROR(_xlfn.XLOOKUP($A134,'Raw Data'!$G:$G,'Raw Data'!AE:AE),"")</f>
        <v/>
      </c>
      <c r="M134" s="133" t="str">
        <f>IFERROR(_xlfn.XLOOKUP($A134,'Raw Data'!$G:$G,'Raw Data'!AF:AF),"")</f>
        <v/>
      </c>
      <c r="N134" s="133" t="str">
        <f>IFERROR(_xlfn.XLOOKUP($A134,'Raw Data'!$G:$G,'Raw Data'!AG:AG),"")</f>
        <v/>
      </c>
      <c r="O134" s="134" t="str">
        <f>IFERROR(1-SUMIF('Plant BD'!$H:$H,$A134,'Plant BD'!$AE:$AE)/($AA134+SUMIF('Plant BD'!$H:$H,$A134,'Plant BD'!$AE:$AE)),"")</f>
        <v/>
      </c>
      <c r="P134" s="134"/>
      <c r="Q134" s="135"/>
      <c r="R134" s="134" t="str">
        <f>IFERROR(1-SUMIF('Grid BD'!$H:$H,$A134,'Grid BD'!$AD:$AD)/($AA134+SUMIF('Grid BD'!$H:$H,$A134,'Grid BD'!$AD:$AD)),"")</f>
        <v/>
      </c>
      <c r="T134" s="135"/>
      <c r="U134" s="136" t="str">
        <f t="shared" si="9"/>
        <v/>
      </c>
      <c r="V134" s="136"/>
      <c r="W134" s="137" t="str">
        <f t="shared" si="10"/>
        <v/>
      </c>
      <c r="X134" s="130" t="str">
        <f>IFERROR(_xlfn.XLOOKUP($A134,'Raw Data'!$G:$G,'Raw Data'!AI:AI),"")</f>
        <v/>
      </c>
      <c r="Y134" s="130" t="str">
        <f>IFERROR(_xlfn.XLOOKUP($A134,'Raw Data'!$G:$G,'Raw Data'!AJ:AJ),"")</f>
        <v/>
      </c>
      <c r="Z134" s="130" t="str">
        <f>IFERROR(_xlfn.XLOOKUP($A134,'Raw Data'!$G:$G,'Raw Data'!AK:AK),"")</f>
        <v/>
      </c>
      <c r="AA134" s="130" t="str">
        <f>IFERROR(_xlfn.XLOOKUP($A134,'Raw Data'!$G:$G,'Raw Data'!AL:AL),"")</f>
        <v/>
      </c>
      <c r="AB134" s="130" t="str">
        <f>IFERROR(_xlfn.XLOOKUP($A134,'Raw Data'!$G:$G,'Raw Data'!H:H),"")</f>
        <v/>
      </c>
      <c r="AC134" s="76">
        <f>IFERROR(_xlfn.XLOOKUP($D134,'Modelling New'!$D:$D,'Modelling New'!P:P),"")</f>
        <v>4.2161290322580642</v>
      </c>
      <c r="AD134" s="130">
        <f>IFERROR(_xlfn.XLOOKUP($D134,'Modelling New'!$D:$D,'Modelling New'!$T:$T)*1000,"")</f>
        <v>24273.156786520856</v>
      </c>
      <c r="AE134" s="138">
        <f>IFERROR(_xlfn.XLOOKUP($D134,'Modelling New'!$D:$D,'Modelling New'!O:O),"")</f>
        <v>0.71777654975663252</v>
      </c>
      <c r="AF134" s="137">
        <f>IFERROR(_xlfn.XLOOKUP($D134,'Modelling New'!$D:$D,'Modelling New'!W:W),"")</f>
        <v>0.12609327292095679</v>
      </c>
      <c r="AG134" s="137">
        <f>IFERROR(_xlfn.XLOOKUP($D134,'Modelling New'!$D:$D,'Modelling New'!AE:AE),"")</f>
        <v>0.98040000000000005</v>
      </c>
      <c r="AH134" s="156">
        <f>IFERROR(_xlfn.XLOOKUP($D134,'Modelling New'!$D:$D,'Modelling New'!AF:AF),"")</f>
        <v>0.98</v>
      </c>
      <c r="AN134" s="134"/>
      <c r="AO134" s="137"/>
      <c r="AP134" s="137"/>
      <c r="AQ134" s="137"/>
      <c r="AR134" s="130">
        <f>'Basic Data'!$B$98/1000</f>
        <v>8.0208999999999993</v>
      </c>
    </row>
    <row r="135" spans="1:44" x14ac:dyDescent="0.3">
      <c r="A135" s="129">
        <f t="shared" si="11"/>
        <v>45878</v>
      </c>
      <c r="B135" s="130">
        <f>YEAR(Table13[[#This Row],[Date]])+IF(MONTH(Table13[[#This Row],[Date]])&gt;=4,1,0)</f>
        <v>2026</v>
      </c>
      <c r="C135" s="7">
        <f>YEAR(Table13[[#This Row],[Date]])</f>
        <v>2025</v>
      </c>
      <c r="D135" s="131">
        <f>Table13[[#This Row],[Date]]-DAY(Table13[[#This Row],[Date]])+1</f>
        <v>45870</v>
      </c>
      <c r="E135" s="7">
        <f t="shared" si="8"/>
        <v>31</v>
      </c>
      <c r="F135" s="132" t="str">
        <f>IFERROR(_xlfn.XLOOKUP($A135,'Raw Data'!$G:$G,'Raw Data'!$AM:$AM),"")</f>
        <v/>
      </c>
      <c r="G135" s="133" t="str">
        <f>IFERROR(_xlfn.XLOOKUP($A135,'Raw Data'!$G:$G,'Raw Data'!$AB:$AB),"")</f>
        <v/>
      </c>
      <c r="H135" s="133"/>
      <c r="I135" s="133" t="str">
        <f>IFERROR(_xlfn.XLOOKUP($A135,'Raw Data'!$G:$G,'Raw Data'!$AC:$AC),"")</f>
        <v/>
      </c>
      <c r="J135" s="133"/>
      <c r="K135" s="133" t="str">
        <f>IFERROR(_xlfn.XLOOKUP($A135,'Raw Data'!$G:$G,'Raw Data'!AD:AD),"")</f>
        <v/>
      </c>
      <c r="L135" s="133" t="str">
        <f>IFERROR(_xlfn.XLOOKUP($A135,'Raw Data'!$G:$G,'Raw Data'!AE:AE),"")</f>
        <v/>
      </c>
      <c r="M135" s="133" t="str">
        <f>IFERROR(_xlfn.XLOOKUP($A135,'Raw Data'!$G:$G,'Raw Data'!AF:AF),"")</f>
        <v/>
      </c>
      <c r="N135" s="133" t="str">
        <f>IFERROR(_xlfn.XLOOKUP($A135,'Raw Data'!$G:$G,'Raw Data'!AG:AG),"")</f>
        <v/>
      </c>
      <c r="O135" s="134" t="str">
        <f>IFERROR(1-SUMIF('Plant BD'!$H:$H,$A135,'Plant BD'!$AE:$AE)/($AA135+SUMIF('Plant BD'!$H:$H,$A135,'Plant BD'!$AE:$AE)),"")</f>
        <v/>
      </c>
      <c r="P135" s="134"/>
      <c r="Q135" s="135"/>
      <c r="R135" s="134" t="str">
        <f>IFERROR(1-SUMIF('Grid BD'!$H:$H,$A135,'Grid BD'!$AD:$AD)/($AA135+SUMIF('Grid BD'!$H:$H,$A135,'Grid BD'!$AD:$AD)),"")</f>
        <v/>
      </c>
      <c r="T135" s="135"/>
      <c r="U135" s="136" t="str">
        <f t="shared" si="9"/>
        <v/>
      </c>
      <c r="V135" s="136"/>
      <c r="W135" s="137" t="str">
        <f t="shared" si="10"/>
        <v/>
      </c>
      <c r="X135" s="130" t="str">
        <f>IFERROR(_xlfn.XLOOKUP($A135,'Raw Data'!$G:$G,'Raw Data'!AI:AI),"")</f>
        <v/>
      </c>
      <c r="Y135" s="130" t="str">
        <f>IFERROR(_xlfn.XLOOKUP($A135,'Raw Data'!$G:$G,'Raw Data'!AJ:AJ),"")</f>
        <v/>
      </c>
      <c r="Z135" s="130" t="str">
        <f>IFERROR(_xlfn.XLOOKUP($A135,'Raw Data'!$G:$G,'Raw Data'!AK:AK),"")</f>
        <v/>
      </c>
      <c r="AA135" s="130" t="str">
        <f>IFERROR(_xlfn.XLOOKUP($A135,'Raw Data'!$G:$G,'Raw Data'!AL:AL),"")</f>
        <v/>
      </c>
      <c r="AB135" s="130" t="str">
        <f>IFERROR(_xlfn.XLOOKUP($A135,'Raw Data'!$G:$G,'Raw Data'!H:H),"")</f>
        <v/>
      </c>
      <c r="AC135" s="76">
        <f>IFERROR(_xlfn.XLOOKUP($D135,'Modelling New'!$D:$D,'Modelling New'!P:P),"")</f>
        <v>4.2161290322580642</v>
      </c>
      <c r="AD135" s="130">
        <f>IFERROR(_xlfn.XLOOKUP($D135,'Modelling New'!$D:$D,'Modelling New'!$T:$T)*1000,"")</f>
        <v>24273.156786520856</v>
      </c>
      <c r="AE135" s="138">
        <f>IFERROR(_xlfn.XLOOKUP($D135,'Modelling New'!$D:$D,'Modelling New'!O:O),"")</f>
        <v>0.71777654975663252</v>
      </c>
      <c r="AF135" s="137">
        <f>IFERROR(_xlfn.XLOOKUP($D135,'Modelling New'!$D:$D,'Modelling New'!W:W),"")</f>
        <v>0.12609327292095679</v>
      </c>
      <c r="AG135" s="137">
        <f>IFERROR(_xlfn.XLOOKUP($D135,'Modelling New'!$D:$D,'Modelling New'!AE:AE),"")</f>
        <v>0.98040000000000005</v>
      </c>
      <c r="AH135" s="156">
        <f>IFERROR(_xlfn.XLOOKUP($D135,'Modelling New'!$D:$D,'Modelling New'!AF:AF),"")</f>
        <v>0.98</v>
      </c>
      <c r="AN135" s="134"/>
      <c r="AO135" s="137"/>
      <c r="AP135" s="137"/>
      <c r="AQ135" s="137"/>
      <c r="AR135" s="130">
        <f>'Basic Data'!$B$98/1000</f>
        <v>8.0208999999999993</v>
      </c>
    </row>
    <row r="136" spans="1:44" x14ac:dyDescent="0.3">
      <c r="A136" s="129">
        <f t="shared" si="11"/>
        <v>45879</v>
      </c>
      <c r="B136" s="130">
        <f>YEAR(Table13[[#This Row],[Date]])+IF(MONTH(Table13[[#This Row],[Date]])&gt;=4,1,0)</f>
        <v>2026</v>
      </c>
      <c r="C136" s="7">
        <f>YEAR(Table13[[#This Row],[Date]])</f>
        <v>2025</v>
      </c>
      <c r="D136" s="131">
        <f>Table13[[#This Row],[Date]]-DAY(Table13[[#This Row],[Date]])+1</f>
        <v>45870</v>
      </c>
      <c r="E136" s="7">
        <f t="shared" si="8"/>
        <v>31</v>
      </c>
      <c r="F136" s="132" t="str">
        <f>IFERROR(_xlfn.XLOOKUP($A136,'Raw Data'!$G:$G,'Raw Data'!$AM:$AM),"")</f>
        <v/>
      </c>
      <c r="G136" s="133" t="str">
        <f>IFERROR(_xlfn.XLOOKUP($A136,'Raw Data'!$G:$G,'Raw Data'!$AB:$AB),"")</f>
        <v/>
      </c>
      <c r="H136" s="133"/>
      <c r="I136" s="133" t="str">
        <f>IFERROR(_xlfn.XLOOKUP($A136,'Raw Data'!$G:$G,'Raw Data'!$AC:$AC),"")</f>
        <v/>
      </c>
      <c r="J136" s="133"/>
      <c r="K136" s="133" t="str">
        <f>IFERROR(_xlfn.XLOOKUP($A136,'Raw Data'!$G:$G,'Raw Data'!AD:AD),"")</f>
        <v/>
      </c>
      <c r="L136" s="133" t="str">
        <f>IFERROR(_xlfn.XLOOKUP($A136,'Raw Data'!$G:$G,'Raw Data'!AE:AE),"")</f>
        <v/>
      </c>
      <c r="M136" s="133" t="str">
        <f>IFERROR(_xlfn.XLOOKUP($A136,'Raw Data'!$G:$G,'Raw Data'!AF:AF),"")</f>
        <v/>
      </c>
      <c r="N136" s="133" t="str">
        <f>IFERROR(_xlfn.XLOOKUP($A136,'Raw Data'!$G:$G,'Raw Data'!AG:AG),"")</f>
        <v/>
      </c>
      <c r="O136" s="134" t="str">
        <f>IFERROR(1-SUMIF('Plant BD'!$H:$H,$A136,'Plant BD'!$AE:$AE)/($AA136+SUMIF('Plant BD'!$H:$H,$A136,'Plant BD'!$AE:$AE)),"")</f>
        <v/>
      </c>
      <c r="P136" s="134"/>
      <c r="Q136" s="135"/>
      <c r="R136" s="134" t="str">
        <f>IFERROR(1-SUMIF('Grid BD'!$H:$H,$A136,'Grid BD'!$AD:$AD)/($AA136+SUMIF('Grid BD'!$H:$H,$A136,'Grid BD'!$AD:$AD)),"")</f>
        <v/>
      </c>
      <c r="T136" s="135"/>
      <c r="U136" s="136" t="str">
        <f t="shared" si="9"/>
        <v/>
      </c>
      <c r="V136" s="136"/>
      <c r="W136" s="137" t="str">
        <f t="shared" si="10"/>
        <v/>
      </c>
      <c r="X136" s="130" t="str">
        <f>IFERROR(_xlfn.XLOOKUP($A136,'Raw Data'!$G:$G,'Raw Data'!AI:AI),"")</f>
        <v/>
      </c>
      <c r="Y136" s="130" t="str">
        <f>IFERROR(_xlfn.XLOOKUP($A136,'Raw Data'!$G:$G,'Raw Data'!AJ:AJ),"")</f>
        <v/>
      </c>
      <c r="Z136" s="130" t="str">
        <f>IFERROR(_xlfn.XLOOKUP($A136,'Raw Data'!$G:$G,'Raw Data'!AK:AK),"")</f>
        <v/>
      </c>
      <c r="AA136" s="130" t="str">
        <f>IFERROR(_xlfn.XLOOKUP($A136,'Raw Data'!$G:$G,'Raw Data'!AL:AL),"")</f>
        <v/>
      </c>
      <c r="AB136" s="130" t="str">
        <f>IFERROR(_xlfn.XLOOKUP($A136,'Raw Data'!$G:$G,'Raw Data'!H:H),"")</f>
        <v/>
      </c>
      <c r="AC136" s="76">
        <f>IFERROR(_xlfn.XLOOKUP($D136,'Modelling New'!$D:$D,'Modelling New'!P:P),"")</f>
        <v>4.2161290322580642</v>
      </c>
      <c r="AD136" s="130">
        <f>IFERROR(_xlfn.XLOOKUP($D136,'Modelling New'!$D:$D,'Modelling New'!$T:$T)*1000,"")</f>
        <v>24273.156786520856</v>
      </c>
      <c r="AE136" s="138">
        <f>IFERROR(_xlfn.XLOOKUP($D136,'Modelling New'!$D:$D,'Modelling New'!O:O),"")</f>
        <v>0.71777654975663252</v>
      </c>
      <c r="AF136" s="137">
        <f>IFERROR(_xlfn.XLOOKUP($D136,'Modelling New'!$D:$D,'Modelling New'!W:W),"")</f>
        <v>0.12609327292095679</v>
      </c>
      <c r="AG136" s="137">
        <f>IFERROR(_xlfn.XLOOKUP($D136,'Modelling New'!$D:$D,'Modelling New'!AE:AE),"")</f>
        <v>0.98040000000000005</v>
      </c>
      <c r="AH136" s="156">
        <f>IFERROR(_xlfn.XLOOKUP($D136,'Modelling New'!$D:$D,'Modelling New'!AF:AF),"")</f>
        <v>0.98</v>
      </c>
      <c r="AN136" s="134"/>
      <c r="AO136" s="137"/>
      <c r="AP136" s="137"/>
      <c r="AQ136" s="137"/>
      <c r="AR136" s="130">
        <f>'Basic Data'!$B$98/1000</f>
        <v>8.0208999999999993</v>
      </c>
    </row>
    <row r="137" spans="1:44" x14ac:dyDescent="0.3">
      <c r="A137" s="129">
        <f t="shared" si="11"/>
        <v>45880</v>
      </c>
      <c r="B137" s="130">
        <f>YEAR(Table13[[#This Row],[Date]])+IF(MONTH(Table13[[#This Row],[Date]])&gt;=4,1,0)</f>
        <v>2026</v>
      </c>
      <c r="C137" s="7">
        <f>YEAR(Table13[[#This Row],[Date]])</f>
        <v>2025</v>
      </c>
      <c r="D137" s="131">
        <f>Table13[[#This Row],[Date]]-DAY(Table13[[#This Row],[Date]])+1</f>
        <v>45870</v>
      </c>
      <c r="E137" s="7">
        <f t="shared" si="8"/>
        <v>31</v>
      </c>
      <c r="F137" s="132" t="str">
        <f>IFERROR(_xlfn.XLOOKUP($A137,'Raw Data'!$G:$G,'Raw Data'!$AM:$AM),"")</f>
        <v/>
      </c>
      <c r="G137" s="133" t="str">
        <f>IFERROR(_xlfn.XLOOKUP($A137,'Raw Data'!$G:$G,'Raw Data'!$AB:$AB),"")</f>
        <v/>
      </c>
      <c r="H137" s="133"/>
      <c r="I137" s="133" t="str">
        <f>IFERROR(_xlfn.XLOOKUP($A137,'Raw Data'!$G:$G,'Raw Data'!$AC:$AC),"")</f>
        <v/>
      </c>
      <c r="J137" s="133"/>
      <c r="K137" s="133" t="str">
        <f>IFERROR(_xlfn.XLOOKUP($A137,'Raw Data'!$G:$G,'Raw Data'!AD:AD),"")</f>
        <v/>
      </c>
      <c r="L137" s="133" t="str">
        <f>IFERROR(_xlfn.XLOOKUP($A137,'Raw Data'!$G:$G,'Raw Data'!AE:AE),"")</f>
        <v/>
      </c>
      <c r="M137" s="133" t="str">
        <f>IFERROR(_xlfn.XLOOKUP($A137,'Raw Data'!$G:$G,'Raw Data'!AF:AF),"")</f>
        <v/>
      </c>
      <c r="N137" s="133" t="str">
        <f>IFERROR(_xlfn.XLOOKUP($A137,'Raw Data'!$G:$G,'Raw Data'!AG:AG),"")</f>
        <v/>
      </c>
      <c r="O137" s="134" t="str">
        <f>IFERROR(1-SUMIF('Plant BD'!$H:$H,$A137,'Plant BD'!$AE:$AE)/($AA137+SUMIF('Plant BD'!$H:$H,$A137,'Plant BD'!$AE:$AE)),"")</f>
        <v/>
      </c>
      <c r="P137" s="134"/>
      <c r="Q137" s="135"/>
      <c r="R137" s="134" t="str">
        <f>IFERROR(1-SUMIF('Grid BD'!$H:$H,$A137,'Grid BD'!$AD:$AD)/($AA137+SUMIF('Grid BD'!$H:$H,$A137,'Grid BD'!$AD:$AD)),"")</f>
        <v/>
      </c>
      <c r="T137" s="135"/>
      <c r="U137" s="136" t="str">
        <f t="shared" si="9"/>
        <v/>
      </c>
      <c r="V137" s="136"/>
      <c r="W137" s="137" t="str">
        <f t="shared" si="10"/>
        <v/>
      </c>
      <c r="X137" s="130" t="str">
        <f>IFERROR(_xlfn.XLOOKUP($A137,'Raw Data'!$G:$G,'Raw Data'!AI:AI),"")</f>
        <v/>
      </c>
      <c r="Y137" s="130" t="str">
        <f>IFERROR(_xlfn.XLOOKUP($A137,'Raw Data'!$G:$G,'Raw Data'!AJ:AJ),"")</f>
        <v/>
      </c>
      <c r="Z137" s="130" t="str">
        <f>IFERROR(_xlfn.XLOOKUP($A137,'Raw Data'!$G:$G,'Raw Data'!AK:AK),"")</f>
        <v/>
      </c>
      <c r="AA137" s="130" t="str">
        <f>IFERROR(_xlfn.XLOOKUP($A137,'Raw Data'!$G:$G,'Raw Data'!AL:AL),"")</f>
        <v/>
      </c>
      <c r="AB137" s="130" t="str">
        <f>IFERROR(_xlfn.XLOOKUP($A137,'Raw Data'!$G:$G,'Raw Data'!H:H),"")</f>
        <v/>
      </c>
      <c r="AC137" s="76">
        <f>IFERROR(_xlfn.XLOOKUP($D137,'Modelling New'!$D:$D,'Modelling New'!P:P),"")</f>
        <v>4.2161290322580642</v>
      </c>
      <c r="AD137" s="130">
        <f>IFERROR(_xlfn.XLOOKUP($D137,'Modelling New'!$D:$D,'Modelling New'!$T:$T)*1000,"")</f>
        <v>24273.156786520856</v>
      </c>
      <c r="AE137" s="138">
        <f>IFERROR(_xlfn.XLOOKUP($D137,'Modelling New'!$D:$D,'Modelling New'!O:O),"")</f>
        <v>0.71777654975663252</v>
      </c>
      <c r="AF137" s="137">
        <f>IFERROR(_xlfn.XLOOKUP($D137,'Modelling New'!$D:$D,'Modelling New'!W:W),"")</f>
        <v>0.12609327292095679</v>
      </c>
      <c r="AG137" s="137">
        <f>IFERROR(_xlfn.XLOOKUP($D137,'Modelling New'!$D:$D,'Modelling New'!AE:AE),"")</f>
        <v>0.98040000000000005</v>
      </c>
      <c r="AH137" s="156">
        <f>IFERROR(_xlfn.XLOOKUP($D137,'Modelling New'!$D:$D,'Modelling New'!AF:AF),"")</f>
        <v>0.98</v>
      </c>
      <c r="AN137" s="134"/>
      <c r="AO137" s="137"/>
      <c r="AP137" s="137"/>
      <c r="AQ137" s="137"/>
      <c r="AR137" s="130">
        <f>'Basic Data'!$B$98/1000</f>
        <v>8.0208999999999993</v>
      </c>
    </row>
    <row r="138" spans="1:44" x14ac:dyDescent="0.3">
      <c r="A138" s="129">
        <f t="shared" si="11"/>
        <v>45881</v>
      </c>
      <c r="B138" s="130">
        <f>YEAR(Table13[[#This Row],[Date]])+IF(MONTH(Table13[[#This Row],[Date]])&gt;=4,1,0)</f>
        <v>2026</v>
      </c>
      <c r="C138" s="7">
        <f>YEAR(Table13[[#This Row],[Date]])</f>
        <v>2025</v>
      </c>
      <c r="D138" s="131">
        <f>Table13[[#This Row],[Date]]-DAY(Table13[[#This Row],[Date]])+1</f>
        <v>45870</v>
      </c>
      <c r="E138" s="7">
        <f t="shared" si="8"/>
        <v>31</v>
      </c>
      <c r="F138" s="132" t="str">
        <f>IFERROR(_xlfn.XLOOKUP($A138,'Raw Data'!$G:$G,'Raw Data'!$AM:$AM),"")</f>
        <v/>
      </c>
      <c r="G138" s="133" t="str">
        <f>IFERROR(_xlfn.XLOOKUP($A138,'Raw Data'!$G:$G,'Raw Data'!$AB:$AB),"")</f>
        <v/>
      </c>
      <c r="H138" s="133"/>
      <c r="I138" s="133" t="str">
        <f>IFERROR(_xlfn.XLOOKUP($A138,'Raw Data'!$G:$G,'Raw Data'!$AC:$AC),"")</f>
        <v/>
      </c>
      <c r="J138" s="133"/>
      <c r="K138" s="133" t="str">
        <f>IFERROR(_xlfn.XLOOKUP($A138,'Raw Data'!$G:$G,'Raw Data'!AD:AD),"")</f>
        <v/>
      </c>
      <c r="L138" s="133" t="str">
        <f>IFERROR(_xlfn.XLOOKUP($A138,'Raw Data'!$G:$G,'Raw Data'!AE:AE),"")</f>
        <v/>
      </c>
      <c r="M138" s="133" t="str">
        <f>IFERROR(_xlfn.XLOOKUP($A138,'Raw Data'!$G:$G,'Raw Data'!AF:AF),"")</f>
        <v/>
      </c>
      <c r="N138" s="133" t="str">
        <f>IFERROR(_xlfn.XLOOKUP($A138,'Raw Data'!$G:$G,'Raw Data'!AG:AG),"")</f>
        <v/>
      </c>
      <c r="O138" s="134" t="str">
        <f>IFERROR(1-SUMIF('Plant BD'!$H:$H,$A138,'Plant BD'!$AE:$AE)/($AA138+SUMIF('Plant BD'!$H:$H,$A138,'Plant BD'!$AE:$AE)),"")</f>
        <v/>
      </c>
      <c r="P138" s="134"/>
      <c r="Q138" s="135"/>
      <c r="R138" s="134" t="str">
        <f>IFERROR(1-SUMIF('Grid BD'!$H:$H,$A138,'Grid BD'!$AD:$AD)/($AA138+SUMIF('Grid BD'!$H:$H,$A138,'Grid BD'!$AD:$AD)),"")</f>
        <v/>
      </c>
      <c r="T138" s="135"/>
      <c r="U138" s="136" t="str">
        <f t="shared" si="9"/>
        <v/>
      </c>
      <c r="V138" s="136"/>
      <c r="W138" s="137" t="str">
        <f t="shared" si="10"/>
        <v/>
      </c>
      <c r="X138" s="130" t="str">
        <f>IFERROR(_xlfn.XLOOKUP($A138,'Raw Data'!$G:$G,'Raw Data'!AI:AI),"")</f>
        <v/>
      </c>
      <c r="Y138" s="130" t="str">
        <f>IFERROR(_xlfn.XLOOKUP($A138,'Raw Data'!$G:$G,'Raw Data'!AJ:AJ),"")</f>
        <v/>
      </c>
      <c r="Z138" s="130" t="str">
        <f>IFERROR(_xlfn.XLOOKUP($A138,'Raw Data'!$G:$G,'Raw Data'!AK:AK),"")</f>
        <v/>
      </c>
      <c r="AA138" s="130" t="str">
        <f>IFERROR(_xlfn.XLOOKUP($A138,'Raw Data'!$G:$G,'Raw Data'!AL:AL),"")</f>
        <v/>
      </c>
      <c r="AB138" s="130" t="str">
        <f>IFERROR(_xlfn.XLOOKUP($A138,'Raw Data'!$G:$G,'Raw Data'!H:H),"")</f>
        <v/>
      </c>
      <c r="AC138" s="76">
        <f>IFERROR(_xlfn.XLOOKUP($D138,'Modelling New'!$D:$D,'Modelling New'!P:P),"")</f>
        <v>4.2161290322580642</v>
      </c>
      <c r="AD138" s="130">
        <f>IFERROR(_xlfn.XLOOKUP($D138,'Modelling New'!$D:$D,'Modelling New'!$T:$T)*1000,"")</f>
        <v>24273.156786520856</v>
      </c>
      <c r="AE138" s="138">
        <f>IFERROR(_xlfn.XLOOKUP($D138,'Modelling New'!$D:$D,'Modelling New'!O:O),"")</f>
        <v>0.71777654975663252</v>
      </c>
      <c r="AF138" s="137">
        <f>IFERROR(_xlfn.XLOOKUP($D138,'Modelling New'!$D:$D,'Modelling New'!W:W),"")</f>
        <v>0.12609327292095679</v>
      </c>
      <c r="AG138" s="137">
        <f>IFERROR(_xlfn.XLOOKUP($D138,'Modelling New'!$D:$D,'Modelling New'!AE:AE),"")</f>
        <v>0.98040000000000005</v>
      </c>
      <c r="AH138" s="156">
        <f>IFERROR(_xlfn.XLOOKUP($D138,'Modelling New'!$D:$D,'Modelling New'!AF:AF),"")</f>
        <v>0.98</v>
      </c>
      <c r="AN138" s="134"/>
      <c r="AO138" s="137"/>
      <c r="AP138" s="137"/>
      <c r="AQ138" s="137"/>
      <c r="AR138" s="130">
        <f>'Basic Data'!$B$98/1000</f>
        <v>8.0208999999999993</v>
      </c>
    </row>
    <row r="139" spans="1:44" x14ac:dyDescent="0.3">
      <c r="A139" s="129">
        <f t="shared" si="11"/>
        <v>45882</v>
      </c>
      <c r="B139" s="130">
        <f>YEAR(Table13[[#This Row],[Date]])+IF(MONTH(Table13[[#This Row],[Date]])&gt;=4,1,0)</f>
        <v>2026</v>
      </c>
      <c r="C139" s="7">
        <f>YEAR(Table13[[#This Row],[Date]])</f>
        <v>2025</v>
      </c>
      <c r="D139" s="131">
        <f>Table13[[#This Row],[Date]]-DAY(Table13[[#This Row],[Date]])+1</f>
        <v>45870</v>
      </c>
      <c r="E139" s="7">
        <f t="shared" si="8"/>
        <v>31</v>
      </c>
      <c r="F139" s="132" t="str">
        <f>IFERROR(_xlfn.XLOOKUP($A139,'Raw Data'!$G:$G,'Raw Data'!$AM:$AM),"")</f>
        <v/>
      </c>
      <c r="G139" s="133" t="str">
        <f>IFERROR(_xlfn.XLOOKUP($A139,'Raw Data'!$G:$G,'Raw Data'!$AB:$AB),"")</f>
        <v/>
      </c>
      <c r="H139" s="133"/>
      <c r="I139" s="133" t="str">
        <f>IFERROR(_xlfn.XLOOKUP($A139,'Raw Data'!$G:$G,'Raw Data'!$AC:$AC),"")</f>
        <v/>
      </c>
      <c r="J139" s="133"/>
      <c r="K139" s="133" t="str">
        <f>IFERROR(_xlfn.XLOOKUP($A139,'Raw Data'!$G:$G,'Raw Data'!AD:AD),"")</f>
        <v/>
      </c>
      <c r="L139" s="133" t="str">
        <f>IFERROR(_xlfn.XLOOKUP($A139,'Raw Data'!$G:$G,'Raw Data'!AE:AE),"")</f>
        <v/>
      </c>
      <c r="M139" s="133" t="str">
        <f>IFERROR(_xlfn.XLOOKUP($A139,'Raw Data'!$G:$G,'Raw Data'!AF:AF),"")</f>
        <v/>
      </c>
      <c r="N139" s="133" t="str">
        <f>IFERROR(_xlfn.XLOOKUP($A139,'Raw Data'!$G:$G,'Raw Data'!AG:AG),"")</f>
        <v/>
      </c>
      <c r="O139" s="134" t="str">
        <f>IFERROR(1-SUMIF('Plant BD'!$H:$H,$A139,'Plant BD'!$AE:$AE)/($AA139+SUMIF('Plant BD'!$H:$H,$A139,'Plant BD'!$AE:$AE)),"")</f>
        <v/>
      </c>
      <c r="P139" s="134"/>
      <c r="Q139" s="135"/>
      <c r="R139" s="134" t="str">
        <f>IFERROR(1-SUMIF('Grid BD'!$H:$H,$A139,'Grid BD'!$AD:$AD)/($AA139+SUMIF('Grid BD'!$H:$H,$A139,'Grid BD'!$AD:$AD)),"")</f>
        <v/>
      </c>
      <c r="T139" s="135"/>
      <c r="U139" s="136" t="str">
        <f t="shared" si="9"/>
        <v/>
      </c>
      <c r="V139" s="136"/>
      <c r="W139" s="137" t="str">
        <f t="shared" si="10"/>
        <v/>
      </c>
      <c r="X139" s="130" t="str">
        <f>IFERROR(_xlfn.XLOOKUP($A139,'Raw Data'!$G:$G,'Raw Data'!AI:AI),"")</f>
        <v/>
      </c>
      <c r="Y139" s="130" t="str">
        <f>IFERROR(_xlfn.XLOOKUP($A139,'Raw Data'!$G:$G,'Raw Data'!AJ:AJ),"")</f>
        <v/>
      </c>
      <c r="Z139" s="130" t="str">
        <f>IFERROR(_xlfn.XLOOKUP($A139,'Raw Data'!$G:$G,'Raw Data'!AK:AK),"")</f>
        <v/>
      </c>
      <c r="AA139" s="130" t="str">
        <f>IFERROR(_xlfn.XLOOKUP($A139,'Raw Data'!$G:$G,'Raw Data'!AL:AL),"")</f>
        <v/>
      </c>
      <c r="AB139" s="130" t="str">
        <f>IFERROR(_xlfn.XLOOKUP($A139,'Raw Data'!$G:$G,'Raw Data'!H:H),"")</f>
        <v/>
      </c>
      <c r="AC139" s="76">
        <f>IFERROR(_xlfn.XLOOKUP($D139,'Modelling New'!$D:$D,'Modelling New'!P:P),"")</f>
        <v>4.2161290322580642</v>
      </c>
      <c r="AD139" s="130">
        <f>IFERROR(_xlfn.XLOOKUP($D139,'Modelling New'!$D:$D,'Modelling New'!$T:$T)*1000,"")</f>
        <v>24273.156786520856</v>
      </c>
      <c r="AE139" s="138">
        <f>IFERROR(_xlfn.XLOOKUP($D139,'Modelling New'!$D:$D,'Modelling New'!O:O),"")</f>
        <v>0.71777654975663252</v>
      </c>
      <c r="AF139" s="137">
        <f>IFERROR(_xlfn.XLOOKUP($D139,'Modelling New'!$D:$D,'Modelling New'!W:W),"")</f>
        <v>0.12609327292095679</v>
      </c>
      <c r="AG139" s="137">
        <f>IFERROR(_xlfn.XLOOKUP($D139,'Modelling New'!$D:$D,'Modelling New'!AE:AE),"")</f>
        <v>0.98040000000000005</v>
      </c>
      <c r="AH139" s="156">
        <f>IFERROR(_xlfn.XLOOKUP($D139,'Modelling New'!$D:$D,'Modelling New'!AF:AF),"")</f>
        <v>0.98</v>
      </c>
      <c r="AN139" s="134"/>
      <c r="AO139" s="137"/>
      <c r="AP139" s="137"/>
      <c r="AQ139" s="137"/>
      <c r="AR139" s="130">
        <f>'Basic Data'!$B$98/1000</f>
        <v>8.0208999999999993</v>
      </c>
    </row>
    <row r="140" spans="1:44" x14ac:dyDescent="0.3">
      <c r="A140" s="129">
        <f t="shared" si="11"/>
        <v>45883</v>
      </c>
      <c r="B140" s="130">
        <f>YEAR(Table13[[#This Row],[Date]])+IF(MONTH(Table13[[#This Row],[Date]])&gt;=4,1,0)</f>
        <v>2026</v>
      </c>
      <c r="C140" s="7">
        <f>YEAR(Table13[[#This Row],[Date]])</f>
        <v>2025</v>
      </c>
      <c r="D140" s="131">
        <f>Table13[[#This Row],[Date]]-DAY(Table13[[#This Row],[Date]])+1</f>
        <v>45870</v>
      </c>
      <c r="E140" s="7">
        <f t="shared" si="8"/>
        <v>31</v>
      </c>
      <c r="F140" s="132" t="str">
        <f>IFERROR(_xlfn.XLOOKUP($A140,'Raw Data'!$G:$G,'Raw Data'!$AM:$AM),"")</f>
        <v/>
      </c>
      <c r="G140" s="133" t="str">
        <f>IFERROR(_xlfn.XLOOKUP($A140,'Raw Data'!$G:$G,'Raw Data'!$AB:$AB),"")</f>
        <v/>
      </c>
      <c r="H140" s="133"/>
      <c r="I140" s="133" t="str">
        <f>IFERROR(_xlfn.XLOOKUP($A140,'Raw Data'!$G:$G,'Raw Data'!$AC:$AC),"")</f>
        <v/>
      </c>
      <c r="J140" s="133"/>
      <c r="K140" s="133" t="str">
        <f>IFERROR(_xlfn.XLOOKUP($A140,'Raw Data'!$G:$G,'Raw Data'!AD:AD),"")</f>
        <v/>
      </c>
      <c r="L140" s="133" t="str">
        <f>IFERROR(_xlfn.XLOOKUP($A140,'Raw Data'!$G:$G,'Raw Data'!AE:AE),"")</f>
        <v/>
      </c>
      <c r="M140" s="133" t="str">
        <f>IFERROR(_xlfn.XLOOKUP($A140,'Raw Data'!$G:$G,'Raw Data'!AF:AF),"")</f>
        <v/>
      </c>
      <c r="N140" s="133" t="str">
        <f>IFERROR(_xlfn.XLOOKUP($A140,'Raw Data'!$G:$G,'Raw Data'!AG:AG),"")</f>
        <v/>
      </c>
      <c r="O140" s="134" t="str">
        <f>IFERROR(1-SUMIF('Plant BD'!$H:$H,$A140,'Plant BD'!$AE:$AE)/($AA140+SUMIF('Plant BD'!$H:$H,$A140,'Plant BD'!$AE:$AE)),"")</f>
        <v/>
      </c>
      <c r="P140" s="134"/>
      <c r="Q140" s="135"/>
      <c r="R140" s="134" t="str">
        <f>IFERROR(1-SUMIF('Grid BD'!$H:$H,$A140,'Grid BD'!$AD:$AD)/($AA140+SUMIF('Grid BD'!$H:$H,$A140,'Grid BD'!$AD:$AD)),"")</f>
        <v/>
      </c>
      <c r="T140" s="135"/>
      <c r="U140" s="136" t="str">
        <f t="shared" si="9"/>
        <v/>
      </c>
      <c r="V140" s="136"/>
      <c r="W140" s="137" t="str">
        <f t="shared" si="10"/>
        <v/>
      </c>
      <c r="X140" s="130" t="str">
        <f>IFERROR(_xlfn.XLOOKUP($A140,'Raw Data'!$G:$G,'Raw Data'!AI:AI),"")</f>
        <v/>
      </c>
      <c r="Y140" s="130" t="str">
        <f>IFERROR(_xlfn.XLOOKUP($A140,'Raw Data'!$G:$G,'Raw Data'!AJ:AJ),"")</f>
        <v/>
      </c>
      <c r="Z140" s="130" t="str">
        <f>IFERROR(_xlfn.XLOOKUP($A140,'Raw Data'!$G:$G,'Raw Data'!AK:AK),"")</f>
        <v/>
      </c>
      <c r="AA140" s="130" t="str">
        <f>IFERROR(_xlfn.XLOOKUP($A140,'Raw Data'!$G:$G,'Raw Data'!AL:AL),"")</f>
        <v/>
      </c>
      <c r="AB140" s="130" t="str">
        <f>IFERROR(_xlfn.XLOOKUP($A140,'Raw Data'!$G:$G,'Raw Data'!H:H),"")</f>
        <v/>
      </c>
      <c r="AC140" s="76">
        <f>IFERROR(_xlfn.XLOOKUP($D140,'Modelling New'!$D:$D,'Modelling New'!P:P),"")</f>
        <v>4.2161290322580642</v>
      </c>
      <c r="AD140" s="130">
        <f>IFERROR(_xlfn.XLOOKUP($D140,'Modelling New'!$D:$D,'Modelling New'!$T:$T)*1000,"")</f>
        <v>24273.156786520856</v>
      </c>
      <c r="AE140" s="138">
        <f>IFERROR(_xlfn.XLOOKUP($D140,'Modelling New'!$D:$D,'Modelling New'!O:O),"")</f>
        <v>0.71777654975663252</v>
      </c>
      <c r="AF140" s="137">
        <f>IFERROR(_xlfn.XLOOKUP($D140,'Modelling New'!$D:$D,'Modelling New'!W:W),"")</f>
        <v>0.12609327292095679</v>
      </c>
      <c r="AG140" s="137">
        <f>IFERROR(_xlfn.XLOOKUP($D140,'Modelling New'!$D:$D,'Modelling New'!AE:AE),"")</f>
        <v>0.98040000000000005</v>
      </c>
      <c r="AH140" s="156">
        <f>IFERROR(_xlfn.XLOOKUP($D140,'Modelling New'!$D:$D,'Modelling New'!AF:AF),"")</f>
        <v>0.98</v>
      </c>
      <c r="AN140" s="134"/>
      <c r="AO140" s="137"/>
      <c r="AP140" s="137"/>
      <c r="AQ140" s="137"/>
      <c r="AR140" s="130">
        <f>'Basic Data'!$B$98/1000</f>
        <v>8.0208999999999993</v>
      </c>
    </row>
    <row r="141" spans="1:44" x14ac:dyDescent="0.3">
      <c r="A141" s="129">
        <f t="shared" si="11"/>
        <v>45884</v>
      </c>
      <c r="B141" s="130">
        <f>YEAR(Table13[[#This Row],[Date]])+IF(MONTH(Table13[[#This Row],[Date]])&gt;=4,1,0)</f>
        <v>2026</v>
      </c>
      <c r="C141" s="7">
        <f>YEAR(Table13[[#This Row],[Date]])</f>
        <v>2025</v>
      </c>
      <c r="D141" s="131">
        <f>Table13[[#This Row],[Date]]-DAY(Table13[[#This Row],[Date]])+1</f>
        <v>45870</v>
      </c>
      <c r="E141" s="7">
        <f t="shared" si="8"/>
        <v>31</v>
      </c>
      <c r="F141" s="132" t="str">
        <f>IFERROR(_xlfn.XLOOKUP($A141,'Raw Data'!$G:$G,'Raw Data'!$AM:$AM),"")</f>
        <v/>
      </c>
      <c r="G141" s="133" t="str">
        <f>IFERROR(_xlfn.XLOOKUP($A141,'Raw Data'!$G:$G,'Raw Data'!$AB:$AB),"")</f>
        <v/>
      </c>
      <c r="H141" s="133"/>
      <c r="I141" s="133" t="str">
        <f>IFERROR(_xlfn.XLOOKUP($A141,'Raw Data'!$G:$G,'Raw Data'!$AC:$AC),"")</f>
        <v/>
      </c>
      <c r="J141" s="133"/>
      <c r="K141" s="133" t="str">
        <f>IFERROR(_xlfn.XLOOKUP($A141,'Raw Data'!$G:$G,'Raw Data'!AD:AD),"")</f>
        <v/>
      </c>
      <c r="L141" s="133" t="str">
        <f>IFERROR(_xlfn.XLOOKUP($A141,'Raw Data'!$G:$G,'Raw Data'!AE:AE),"")</f>
        <v/>
      </c>
      <c r="M141" s="133" t="str">
        <f>IFERROR(_xlfn.XLOOKUP($A141,'Raw Data'!$G:$G,'Raw Data'!AF:AF),"")</f>
        <v/>
      </c>
      <c r="N141" s="133" t="str">
        <f>IFERROR(_xlfn.XLOOKUP($A141,'Raw Data'!$G:$G,'Raw Data'!AG:AG),"")</f>
        <v/>
      </c>
      <c r="O141" s="134" t="str">
        <f>IFERROR(1-SUMIF('Plant BD'!$H:$H,$A141,'Plant BD'!$AE:$AE)/($AA141+SUMIF('Plant BD'!$H:$H,$A141,'Plant BD'!$AE:$AE)),"")</f>
        <v/>
      </c>
      <c r="P141" s="134"/>
      <c r="Q141" s="135"/>
      <c r="R141" s="134" t="str">
        <f>IFERROR(1-SUMIF('Grid BD'!$H:$H,$A141,'Grid BD'!$AD:$AD)/($AA141+SUMIF('Grid BD'!$H:$H,$A141,'Grid BD'!$AD:$AD)),"")</f>
        <v/>
      </c>
      <c r="T141" s="135"/>
      <c r="U141" s="136" t="str">
        <f t="shared" si="9"/>
        <v/>
      </c>
      <c r="V141" s="136"/>
      <c r="W141" s="137" t="str">
        <f t="shared" si="10"/>
        <v/>
      </c>
      <c r="X141" s="130" t="str">
        <f>IFERROR(_xlfn.XLOOKUP($A141,'Raw Data'!$G:$G,'Raw Data'!AI:AI),"")</f>
        <v/>
      </c>
      <c r="Y141" s="130" t="str">
        <f>IFERROR(_xlfn.XLOOKUP($A141,'Raw Data'!$G:$G,'Raw Data'!AJ:AJ),"")</f>
        <v/>
      </c>
      <c r="Z141" s="130" t="str">
        <f>IFERROR(_xlfn.XLOOKUP($A141,'Raw Data'!$G:$G,'Raw Data'!AK:AK),"")</f>
        <v/>
      </c>
      <c r="AA141" s="130" t="str">
        <f>IFERROR(_xlfn.XLOOKUP($A141,'Raw Data'!$G:$G,'Raw Data'!AL:AL),"")</f>
        <v/>
      </c>
      <c r="AB141" s="130" t="str">
        <f>IFERROR(_xlfn.XLOOKUP($A141,'Raw Data'!$G:$G,'Raw Data'!H:H),"")</f>
        <v/>
      </c>
      <c r="AC141" s="76">
        <f>IFERROR(_xlfn.XLOOKUP($D141,'Modelling New'!$D:$D,'Modelling New'!P:P),"")</f>
        <v>4.2161290322580642</v>
      </c>
      <c r="AD141" s="130">
        <f>IFERROR(_xlfn.XLOOKUP($D141,'Modelling New'!$D:$D,'Modelling New'!$T:$T)*1000,"")</f>
        <v>24273.156786520856</v>
      </c>
      <c r="AE141" s="138">
        <f>IFERROR(_xlfn.XLOOKUP($D141,'Modelling New'!$D:$D,'Modelling New'!O:O),"")</f>
        <v>0.71777654975663252</v>
      </c>
      <c r="AF141" s="137">
        <f>IFERROR(_xlfn.XLOOKUP($D141,'Modelling New'!$D:$D,'Modelling New'!W:W),"")</f>
        <v>0.12609327292095679</v>
      </c>
      <c r="AG141" s="137">
        <f>IFERROR(_xlfn.XLOOKUP($D141,'Modelling New'!$D:$D,'Modelling New'!AE:AE),"")</f>
        <v>0.98040000000000005</v>
      </c>
      <c r="AH141" s="156">
        <f>IFERROR(_xlfn.XLOOKUP($D141,'Modelling New'!$D:$D,'Modelling New'!AF:AF),"")</f>
        <v>0.98</v>
      </c>
      <c r="AN141" s="134"/>
      <c r="AO141" s="137"/>
      <c r="AP141" s="137"/>
      <c r="AQ141" s="137"/>
      <c r="AR141" s="130">
        <f>'Basic Data'!$B$98/1000</f>
        <v>8.0208999999999993</v>
      </c>
    </row>
    <row r="142" spans="1:44" x14ac:dyDescent="0.3">
      <c r="A142" s="129">
        <f t="shared" si="11"/>
        <v>45885</v>
      </c>
      <c r="B142" s="130">
        <f>YEAR(Table13[[#This Row],[Date]])+IF(MONTH(Table13[[#This Row],[Date]])&gt;=4,1,0)</f>
        <v>2026</v>
      </c>
      <c r="C142" s="7">
        <f>YEAR(Table13[[#This Row],[Date]])</f>
        <v>2025</v>
      </c>
      <c r="D142" s="131">
        <f>Table13[[#This Row],[Date]]-DAY(Table13[[#This Row],[Date]])+1</f>
        <v>45870</v>
      </c>
      <c r="E142" s="7">
        <f t="shared" si="8"/>
        <v>31</v>
      </c>
      <c r="F142" s="132" t="str">
        <f>IFERROR(_xlfn.XLOOKUP($A142,'Raw Data'!$G:$G,'Raw Data'!$AM:$AM),"")</f>
        <v/>
      </c>
      <c r="G142" s="133" t="str">
        <f>IFERROR(_xlfn.XLOOKUP($A142,'Raw Data'!$G:$G,'Raw Data'!$AB:$AB),"")</f>
        <v/>
      </c>
      <c r="H142" s="133"/>
      <c r="I142" s="133" t="str">
        <f>IFERROR(_xlfn.XLOOKUP($A142,'Raw Data'!$G:$G,'Raw Data'!$AC:$AC),"")</f>
        <v/>
      </c>
      <c r="J142" s="133"/>
      <c r="K142" s="133" t="str">
        <f>IFERROR(_xlfn.XLOOKUP($A142,'Raw Data'!$G:$G,'Raw Data'!AD:AD),"")</f>
        <v/>
      </c>
      <c r="L142" s="133" t="str">
        <f>IFERROR(_xlfn.XLOOKUP($A142,'Raw Data'!$G:$G,'Raw Data'!AE:AE),"")</f>
        <v/>
      </c>
      <c r="M142" s="133" t="str">
        <f>IFERROR(_xlfn.XLOOKUP($A142,'Raw Data'!$G:$G,'Raw Data'!AF:AF),"")</f>
        <v/>
      </c>
      <c r="N142" s="133" t="str">
        <f>IFERROR(_xlfn.XLOOKUP($A142,'Raw Data'!$G:$G,'Raw Data'!AG:AG),"")</f>
        <v/>
      </c>
      <c r="O142" s="134" t="str">
        <f>IFERROR(1-SUMIF('Plant BD'!$H:$H,$A142,'Plant BD'!$AE:$AE)/($AA142+SUMIF('Plant BD'!$H:$H,$A142,'Plant BD'!$AE:$AE)),"")</f>
        <v/>
      </c>
      <c r="P142" s="134"/>
      <c r="Q142" s="135"/>
      <c r="R142" s="134" t="str">
        <f>IFERROR(1-SUMIF('Grid BD'!$H:$H,$A142,'Grid BD'!$AD:$AD)/($AA142+SUMIF('Grid BD'!$H:$H,$A142,'Grid BD'!$AD:$AD)),"")</f>
        <v/>
      </c>
      <c r="T142" s="135"/>
      <c r="U142" s="136" t="str">
        <f t="shared" si="9"/>
        <v/>
      </c>
      <c r="V142" s="136"/>
      <c r="W142" s="137" t="str">
        <f t="shared" si="10"/>
        <v/>
      </c>
      <c r="X142" s="130" t="str">
        <f>IFERROR(_xlfn.XLOOKUP($A142,'Raw Data'!$G:$G,'Raw Data'!AI:AI),"")</f>
        <v/>
      </c>
      <c r="Y142" s="130" t="str">
        <f>IFERROR(_xlfn.XLOOKUP($A142,'Raw Data'!$G:$G,'Raw Data'!AJ:AJ),"")</f>
        <v/>
      </c>
      <c r="Z142" s="130" t="str">
        <f>IFERROR(_xlfn.XLOOKUP($A142,'Raw Data'!$G:$G,'Raw Data'!AK:AK),"")</f>
        <v/>
      </c>
      <c r="AA142" s="130" t="str">
        <f>IFERROR(_xlfn.XLOOKUP($A142,'Raw Data'!$G:$G,'Raw Data'!AL:AL),"")</f>
        <v/>
      </c>
      <c r="AB142" s="130" t="str">
        <f>IFERROR(_xlfn.XLOOKUP($A142,'Raw Data'!$G:$G,'Raw Data'!H:H),"")</f>
        <v/>
      </c>
      <c r="AC142" s="76">
        <f>IFERROR(_xlfn.XLOOKUP($D142,'Modelling New'!$D:$D,'Modelling New'!P:P),"")</f>
        <v>4.2161290322580642</v>
      </c>
      <c r="AD142" s="130">
        <f>IFERROR(_xlfn.XLOOKUP($D142,'Modelling New'!$D:$D,'Modelling New'!$T:$T)*1000,"")</f>
        <v>24273.156786520856</v>
      </c>
      <c r="AE142" s="138">
        <f>IFERROR(_xlfn.XLOOKUP($D142,'Modelling New'!$D:$D,'Modelling New'!O:O),"")</f>
        <v>0.71777654975663252</v>
      </c>
      <c r="AF142" s="137">
        <f>IFERROR(_xlfn.XLOOKUP($D142,'Modelling New'!$D:$D,'Modelling New'!W:W),"")</f>
        <v>0.12609327292095679</v>
      </c>
      <c r="AG142" s="137">
        <f>IFERROR(_xlfn.XLOOKUP($D142,'Modelling New'!$D:$D,'Modelling New'!AE:AE),"")</f>
        <v>0.98040000000000005</v>
      </c>
      <c r="AH142" s="156">
        <f>IFERROR(_xlfn.XLOOKUP($D142,'Modelling New'!$D:$D,'Modelling New'!AF:AF),"")</f>
        <v>0.98</v>
      </c>
      <c r="AN142" s="134"/>
      <c r="AO142" s="137"/>
      <c r="AP142" s="137"/>
      <c r="AQ142" s="137"/>
      <c r="AR142" s="130">
        <f>'Basic Data'!$B$98/1000</f>
        <v>8.0208999999999993</v>
      </c>
    </row>
    <row r="143" spans="1:44" x14ac:dyDescent="0.3">
      <c r="A143" s="129">
        <f t="shared" si="11"/>
        <v>45886</v>
      </c>
      <c r="B143" s="130">
        <f>YEAR(Table13[[#This Row],[Date]])+IF(MONTH(Table13[[#This Row],[Date]])&gt;=4,1,0)</f>
        <v>2026</v>
      </c>
      <c r="C143" s="7">
        <f>YEAR(Table13[[#This Row],[Date]])</f>
        <v>2025</v>
      </c>
      <c r="D143" s="131">
        <f>Table13[[#This Row],[Date]]-DAY(Table13[[#This Row],[Date]])+1</f>
        <v>45870</v>
      </c>
      <c r="E143" s="7">
        <f t="shared" si="8"/>
        <v>31</v>
      </c>
      <c r="F143" s="132" t="str">
        <f>IFERROR(_xlfn.XLOOKUP($A143,'Raw Data'!$G:$G,'Raw Data'!$AM:$AM),"")</f>
        <v/>
      </c>
      <c r="G143" s="133" t="str">
        <f>IFERROR(_xlfn.XLOOKUP($A143,'Raw Data'!$G:$G,'Raw Data'!$AB:$AB),"")</f>
        <v/>
      </c>
      <c r="H143" s="133"/>
      <c r="I143" s="133" t="str">
        <f>IFERROR(_xlfn.XLOOKUP($A143,'Raw Data'!$G:$G,'Raw Data'!$AC:$AC),"")</f>
        <v/>
      </c>
      <c r="J143" s="133"/>
      <c r="K143" s="133" t="str">
        <f>IFERROR(_xlfn.XLOOKUP($A143,'Raw Data'!$G:$G,'Raw Data'!AD:AD),"")</f>
        <v/>
      </c>
      <c r="L143" s="133" t="str">
        <f>IFERROR(_xlfn.XLOOKUP($A143,'Raw Data'!$G:$G,'Raw Data'!AE:AE),"")</f>
        <v/>
      </c>
      <c r="M143" s="133" t="str">
        <f>IFERROR(_xlfn.XLOOKUP($A143,'Raw Data'!$G:$G,'Raw Data'!AF:AF),"")</f>
        <v/>
      </c>
      <c r="N143" s="133" t="str">
        <f>IFERROR(_xlfn.XLOOKUP($A143,'Raw Data'!$G:$G,'Raw Data'!AG:AG),"")</f>
        <v/>
      </c>
      <c r="O143" s="134" t="str">
        <f>IFERROR(1-SUMIF('Plant BD'!$H:$H,$A143,'Plant BD'!$AE:$AE)/($AA143+SUMIF('Plant BD'!$H:$H,$A143,'Plant BD'!$AE:$AE)),"")</f>
        <v/>
      </c>
      <c r="P143" s="134"/>
      <c r="Q143" s="135"/>
      <c r="R143" s="134" t="str">
        <f>IFERROR(1-SUMIF('Grid BD'!$H:$H,$A143,'Grid BD'!$AD:$AD)/($AA143+SUMIF('Grid BD'!$H:$H,$A143,'Grid BD'!$AD:$AD)),"")</f>
        <v/>
      </c>
      <c r="T143" s="135"/>
      <c r="U143" s="136" t="str">
        <f t="shared" si="9"/>
        <v/>
      </c>
      <c r="V143" s="136"/>
      <c r="W143" s="137" t="str">
        <f t="shared" si="10"/>
        <v/>
      </c>
      <c r="X143" s="130" t="str">
        <f>IFERROR(_xlfn.XLOOKUP($A143,'Raw Data'!$G:$G,'Raw Data'!AI:AI),"")</f>
        <v/>
      </c>
      <c r="Y143" s="130" t="str">
        <f>IFERROR(_xlfn.XLOOKUP($A143,'Raw Data'!$G:$G,'Raw Data'!AJ:AJ),"")</f>
        <v/>
      </c>
      <c r="Z143" s="130" t="str">
        <f>IFERROR(_xlfn.XLOOKUP($A143,'Raw Data'!$G:$G,'Raw Data'!AK:AK),"")</f>
        <v/>
      </c>
      <c r="AA143" s="130" t="str">
        <f>IFERROR(_xlfn.XLOOKUP($A143,'Raw Data'!$G:$G,'Raw Data'!AL:AL),"")</f>
        <v/>
      </c>
      <c r="AB143" s="130" t="str">
        <f>IFERROR(_xlfn.XLOOKUP($A143,'Raw Data'!$G:$G,'Raw Data'!H:H),"")</f>
        <v/>
      </c>
      <c r="AC143" s="76">
        <f>IFERROR(_xlfn.XLOOKUP($D143,'Modelling New'!$D:$D,'Modelling New'!P:P),"")</f>
        <v>4.2161290322580642</v>
      </c>
      <c r="AD143" s="130">
        <f>IFERROR(_xlfn.XLOOKUP($D143,'Modelling New'!$D:$D,'Modelling New'!$T:$T)*1000,"")</f>
        <v>24273.156786520856</v>
      </c>
      <c r="AE143" s="138">
        <f>IFERROR(_xlfn.XLOOKUP($D143,'Modelling New'!$D:$D,'Modelling New'!O:O),"")</f>
        <v>0.71777654975663252</v>
      </c>
      <c r="AF143" s="137">
        <f>IFERROR(_xlfn.XLOOKUP($D143,'Modelling New'!$D:$D,'Modelling New'!W:W),"")</f>
        <v>0.12609327292095679</v>
      </c>
      <c r="AG143" s="137">
        <f>IFERROR(_xlfn.XLOOKUP($D143,'Modelling New'!$D:$D,'Modelling New'!AE:AE),"")</f>
        <v>0.98040000000000005</v>
      </c>
      <c r="AH143" s="156">
        <f>IFERROR(_xlfn.XLOOKUP($D143,'Modelling New'!$D:$D,'Modelling New'!AF:AF),"")</f>
        <v>0.98</v>
      </c>
      <c r="AN143" s="134"/>
      <c r="AO143" s="137"/>
      <c r="AP143" s="137"/>
      <c r="AQ143" s="137"/>
      <c r="AR143" s="130">
        <f>'Basic Data'!$B$98/1000</f>
        <v>8.0208999999999993</v>
      </c>
    </row>
    <row r="144" spans="1:44" x14ac:dyDescent="0.3">
      <c r="A144" s="129">
        <f t="shared" si="11"/>
        <v>45887</v>
      </c>
      <c r="B144" s="130">
        <f>YEAR(Table13[[#This Row],[Date]])+IF(MONTH(Table13[[#This Row],[Date]])&gt;=4,1,0)</f>
        <v>2026</v>
      </c>
      <c r="C144" s="7">
        <f>YEAR(Table13[[#This Row],[Date]])</f>
        <v>2025</v>
      </c>
      <c r="D144" s="131">
        <f>Table13[[#This Row],[Date]]-DAY(Table13[[#This Row],[Date]])+1</f>
        <v>45870</v>
      </c>
      <c r="E144" s="7">
        <f t="shared" si="8"/>
        <v>31</v>
      </c>
      <c r="F144" s="132" t="str">
        <f>IFERROR(_xlfn.XLOOKUP($A144,'Raw Data'!$G:$G,'Raw Data'!$AM:$AM),"")</f>
        <v/>
      </c>
      <c r="G144" s="133" t="str">
        <f>IFERROR(_xlfn.XLOOKUP($A144,'Raw Data'!$G:$G,'Raw Data'!$AB:$AB),"")</f>
        <v/>
      </c>
      <c r="H144" s="133"/>
      <c r="I144" s="133" t="str">
        <f>IFERROR(_xlfn.XLOOKUP($A144,'Raw Data'!$G:$G,'Raw Data'!$AC:$AC),"")</f>
        <v/>
      </c>
      <c r="J144" s="133"/>
      <c r="K144" s="133" t="str">
        <f>IFERROR(_xlfn.XLOOKUP($A144,'Raw Data'!$G:$G,'Raw Data'!AD:AD),"")</f>
        <v/>
      </c>
      <c r="L144" s="133" t="str">
        <f>IFERROR(_xlfn.XLOOKUP($A144,'Raw Data'!$G:$G,'Raw Data'!AE:AE),"")</f>
        <v/>
      </c>
      <c r="M144" s="133" t="str">
        <f>IFERROR(_xlfn.XLOOKUP($A144,'Raw Data'!$G:$G,'Raw Data'!AF:AF),"")</f>
        <v/>
      </c>
      <c r="N144" s="133" t="str">
        <f>IFERROR(_xlfn.XLOOKUP($A144,'Raw Data'!$G:$G,'Raw Data'!AG:AG),"")</f>
        <v/>
      </c>
      <c r="O144" s="134" t="str">
        <f>IFERROR(1-SUMIF('Plant BD'!$H:$H,$A144,'Plant BD'!$AE:$AE)/($AA144+SUMIF('Plant BD'!$H:$H,$A144,'Plant BD'!$AE:$AE)),"")</f>
        <v/>
      </c>
      <c r="P144" s="134"/>
      <c r="Q144" s="135"/>
      <c r="R144" s="134" t="str">
        <f>IFERROR(1-SUMIF('Grid BD'!$H:$H,$A144,'Grid BD'!$AD:$AD)/($AA144+SUMIF('Grid BD'!$H:$H,$A144,'Grid BD'!$AD:$AD)),"")</f>
        <v/>
      </c>
      <c r="T144" s="135"/>
      <c r="U144" s="136" t="str">
        <f t="shared" si="9"/>
        <v/>
      </c>
      <c r="V144" s="136"/>
      <c r="W144" s="137" t="str">
        <f t="shared" si="10"/>
        <v/>
      </c>
      <c r="X144" s="130" t="str">
        <f>IFERROR(_xlfn.XLOOKUP($A144,'Raw Data'!$G:$G,'Raw Data'!AI:AI),"")</f>
        <v/>
      </c>
      <c r="Y144" s="130" t="str">
        <f>IFERROR(_xlfn.XLOOKUP($A144,'Raw Data'!$G:$G,'Raw Data'!AJ:AJ),"")</f>
        <v/>
      </c>
      <c r="Z144" s="130" t="str">
        <f>IFERROR(_xlfn.XLOOKUP($A144,'Raw Data'!$G:$G,'Raw Data'!AK:AK),"")</f>
        <v/>
      </c>
      <c r="AA144" s="130" t="str">
        <f>IFERROR(_xlfn.XLOOKUP($A144,'Raw Data'!$G:$G,'Raw Data'!AL:AL),"")</f>
        <v/>
      </c>
      <c r="AB144" s="130" t="str">
        <f>IFERROR(_xlfn.XLOOKUP($A144,'Raw Data'!$G:$G,'Raw Data'!H:H),"")</f>
        <v/>
      </c>
      <c r="AC144" s="76">
        <f>IFERROR(_xlfn.XLOOKUP($D144,'Modelling New'!$D:$D,'Modelling New'!P:P),"")</f>
        <v>4.2161290322580642</v>
      </c>
      <c r="AD144" s="130">
        <f>IFERROR(_xlfn.XLOOKUP($D144,'Modelling New'!$D:$D,'Modelling New'!$T:$T)*1000,"")</f>
        <v>24273.156786520856</v>
      </c>
      <c r="AE144" s="138">
        <f>IFERROR(_xlfn.XLOOKUP($D144,'Modelling New'!$D:$D,'Modelling New'!O:O),"")</f>
        <v>0.71777654975663252</v>
      </c>
      <c r="AF144" s="137">
        <f>IFERROR(_xlfn.XLOOKUP($D144,'Modelling New'!$D:$D,'Modelling New'!W:W),"")</f>
        <v>0.12609327292095679</v>
      </c>
      <c r="AG144" s="137">
        <f>IFERROR(_xlfn.XLOOKUP($D144,'Modelling New'!$D:$D,'Modelling New'!AE:AE),"")</f>
        <v>0.98040000000000005</v>
      </c>
      <c r="AH144" s="156">
        <f>IFERROR(_xlfn.XLOOKUP($D144,'Modelling New'!$D:$D,'Modelling New'!AF:AF),"")</f>
        <v>0.98</v>
      </c>
      <c r="AN144" s="134"/>
      <c r="AO144" s="137"/>
      <c r="AP144" s="137"/>
      <c r="AQ144" s="137"/>
      <c r="AR144" s="130">
        <f>'Basic Data'!$B$98/1000</f>
        <v>8.0208999999999993</v>
      </c>
    </row>
    <row r="145" spans="1:44" x14ac:dyDescent="0.3">
      <c r="A145" s="129">
        <f t="shared" si="11"/>
        <v>45888</v>
      </c>
      <c r="B145" s="130">
        <f>YEAR(Table13[[#This Row],[Date]])+IF(MONTH(Table13[[#This Row],[Date]])&gt;=4,1,0)</f>
        <v>2026</v>
      </c>
      <c r="C145" s="7">
        <f>YEAR(Table13[[#This Row],[Date]])</f>
        <v>2025</v>
      </c>
      <c r="D145" s="131">
        <f>Table13[[#This Row],[Date]]-DAY(Table13[[#This Row],[Date]])+1</f>
        <v>45870</v>
      </c>
      <c r="E145" s="7">
        <f t="shared" si="8"/>
        <v>31</v>
      </c>
      <c r="F145" s="132" t="str">
        <f>IFERROR(_xlfn.XLOOKUP($A145,'Raw Data'!$G:$G,'Raw Data'!$AM:$AM),"")</f>
        <v/>
      </c>
      <c r="G145" s="133" t="str">
        <f>IFERROR(_xlfn.XLOOKUP($A145,'Raw Data'!$G:$G,'Raw Data'!$AB:$AB),"")</f>
        <v/>
      </c>
      <c r="H145" s="133"/>
      <c r="I145" s="133" t="str">
        <f>IFERROR(_xlfn.XLOOKUP($A145,'Raw Data'!$G:$G,'Raw Data'!$AC:$AC),"")</f>
        <v/>
      </c>
      <c r="J145" s="133"/>
      <c r="K145" s="133" t="str">
        <f>IFERROR(_xlfn.XLOOKUP($A145,'Raw Data'!$G:$G,'Raw Data'!AD:AD),"")</f>
        <v/>
      </c>
      <c r="L145" s="133" t="str">
        <f>IFERROR(_xlfn.XLOOKUP($A145,'Raw Data'!$G:$G,'Raw Data'!AE:AE),"")</f>
        <v/>
      </c>
      <c r="M145" s="133" t="str">
        <f>IFERROR(_xlfn.XLOOKUP($A145,'Raw Data'!$G:$G,'Raw Data'!AF:AF),"")</f>
        <v/>
      </c>
      <c r="N145" s="133" t="str">
        <f>IFERROR(_xlfn.XLOOKUP($A145,'Raw Data'!$G:$G,'Raw Data'!AG:AG),"")</f>
        <v/>
      </c>
      <c r="O145" s="134" t="str">
        <f>IFERROR(1-SUMIF('Plant BD'!$H:$H,$A145,'Plant BD'!$AE:$AE)/($AA145+SUMIF('Plant BD'!$H:$H,$A145,'Plant BD'!$AE:$AE)),"")</f>
        <v/>
      </c>
      <c r="P145" s="134"/>
      <c r="Q145" s="135"/>
      <c r="R145" s="134" t="str">
        <f>IFERROR(1-SUMIF('Grid BD'!$H:$H,$A145,'Grid BD'!$AD:$AD)/($AA145+SUMIF('Grid BD'!$H:$H,$A145,'Grid BD'!$AD:$AD)),"")</f>
        <v/>
      </c>
      <c r="T145" s="135"/>
      <c r="U145" s="136" t="str">
        <f t="shared" si="9"/>
        <v/>
      </c>
      <c r="V145" s="136"/>
      <c r="W145" s="137" t="str">
        <f t="shared" si="10"/>
        <v/>
      </c>
      <c r="X145" s="130" t="str">
        <f>IFERROR(_xlfn.XLOOKUP($A145,'Raw Data'!$G:$G,'Raw Data'!AI:AI),"")</f>
        <v/>
      </c>
      <c r="Y145" s="130" t="str">
        <f>IFERROR(_xlfn.XLOOKUP($A145,'Raw Data'!$G:$G,'Raw Data'!AJ:AJ),"")</f>
        <v/>
      </c>
      <c r="Z145" s="130" t="str">
        <f>IFERROR(_xlfn.XLOOKUP($A145,'Raw Data'!$G:$G,'Raw Data'!AK:AK),"")</f>
        <v/>
      </c>
      <c r="AA145" s="130" t="str">
        <f>IFERROR(_xlfn.XLOOKUP($A145,'Raw Data'!$G:$G,'Raw Data'!AL:AL),"")</f>
        <v/>
      </c>
      <c r="AB145" s="130" t="str">
        <f>IFERROR(_xlfn.XLOOKUP($A145,'Raw Data'!$G:$G,'Raw Data'!H:H),"")</f>
        <v/>
      </c>
      <c r="AC145" s="76">
        <f>IFERROR(_xlfn.XLOOKUP($D145,'Modelling New'!$D:$D,'Modelling New'!P:P),"")</f>
        <v>4.2161290322580642</v>
      </c>
      <c r="AD145" s="130">
        <f>IFERROR(_xlfn.XLOOKUP($D145,'Modelling New'!$D:$D,'Modelling New'!$T:$T)*1000,"")</f>
        <v>24273.156786520856</v>
      </c>
      <c r="AE145" s="138">
        <f>IFERROR(_xlfn.XLOOKUP($D145,'Modelling New'!$D:$D,'Modelling New'!O:O),"")</f>
        <v>0.71777654975663252</v>
      </c>
      <c r="AF145" s="137">
        <f>IFERROR(_xlfn.XLOOKUP($D145,'Modelling New'!$D:$D,'Modelling New'!W:W),"")</f>
        <v>0.12609327292095679</v>
      </c>
      <c r="AG145" s="137">
        <f>IFERROR(_xlfn.XLOOKUP($D145,'Modelling New'!$D:$D,'Modelling New'!AE:AE),"")</f>
        <v>0.98040000000000005</v>
      </c>
      <c r="AH145" s="156">
        <f>IFERROR(_xlfn.XLOOKUP($D145,'Modelling New'!$D:$D,'Modelling New'!AF:AF),"")</f>
        <v>0.98</v>
      </c>
      <c r="AN145" s="134"/>
      <c r="AO145" s="137"/>
      <c r="AP145" s="137"/>
      <c r="AQ145" s="137"/>
      <c r="AR145" s="130">
        <f>'Basic Data'!$B$98/1000</f>
        <v>8.0208999999999993</v>
      </c>
    </row>
    <row r="146" spans="1:44" x14ac:dyDescent="0.3">
      <c r="A146" s="129">
        <f t="shared" si="11"/>
        <v>45889</v>
      </c>
      <c r="B146" s="130">
        <f>YEAR(Table13[[#This Row],[Date]])+IF(MONTH(Table13[[#This Row],[Date]])&gt;=4,1,0)</f>
        <v>2026</v>
      </c>
      <c r="C146" s="7">
        <f>YEAR(Table13[[#This Row],[Date]])</f>
        <v>2025</v>
      </c>
      <c r="D146" s="131">
        <f>Table13[[#This Row],[Date]]-DAY(Table13[[#This Row],[Date]])+1</f>
        <v>45870</v>
      </c>
      <c r="E146" s="7">
        <f t="shared" si="8"/>
        <v>31</v>
      </c>
      <c r="F146" s="132" t="str">
        <f>IFERROR(_xlfn.XLOOKUP($A146,'Raw Data'!$G:$G,'Raw Data'!$AM:$AM),"")</f>
        <v/>
      </c>
      <c r="G146" s="133" t="str">
        <f>IFERROR(_xlfn.XLOOKUP($A146,'Raw Data'!$G:$G,'Raw Data'!$AB:$AB),"")</f>
        <v/>
      </c>
      <c r="H146" s="133"/>
      <c r="I146" s="133" t="str">
        <f>IFERROR(_xlfn.XLOOKUP($A146,'Raw Data'!$G:$G,'Raw Data'!$AC:$AC),"")</f>
        <v/>
      </c>
      <c r="J146" s="133"/>
      <c r="K146" s="133" t="str">
        <f>IFERROR(_xlfn.XLOOKUP($A146,'Raw Data'!$G:$G,'Raw Data'!AD:AD),"")</f>
        <v/>
      </c>
      <c r="L146" s="133" t="str">
        <f>IFERROR(_xlfn.XLOOKUP($A146,'Raw Data'!$G:$G,'Raw Data'!AE:AE),"")</f>
        <v/>
      </c>
      <c r="M146" s="133" t="str">
        <f>IFERROR(_xlfn.XLOOKUP($A146,'Raw Data'!$G:$G,'Raw Data'!AF:AF),"")</f>
        <v/>
      </c>
      <c r="N146" s="133" t="str">
        <f>IFERROR(_xlfn.XLOOKUP($A146,'Raw Data'!$G:$G,'Raw Data'!AG:AG),"")</f>
        <v/>
      </c>
      <c r="O146" s="134" t="str">
        <f>IFERROR(1-SUMIF('Plant BD'!$H:$H,$A146,'Plant BD'!$AE:$AE)/($AA146+SUMIF('Plant BD'!$H:$H,$A146,'Plant BD'!$AE:$AE)),"")</f>
        <v/>
      </c>
      <c r="P146" s="134"/>
      <c r="Q146" s="135"/>
      <c r="R146" s="134" t="str">
        <f>IFERROR(1-SUMIF('Grid BD'!$H:$H,$A146,'Grid BD'!$AD:$AD)/($AA146+SUMIF('Grid BD'!$H:$H,$A146,'Grid BD'!$AD:$AD)),"")</f>
        <v/>
      </c>
      <c r="T146" s="135"/>
      <c r="U146" s="136" t="str">
        <f t="shared" si="9"/>
        <v/>
      </c>
      <c r="V146" s="136"/>
      <c r="W146" s="137" t="str">
        <f t="shared" si="10"/>
        <v/>
      </c>
      <c r="X146" s="130" t="str">
        <f>IFERROR(_xlfn.XLOOKUP($A146,'Raw Data'!$G:$G,'Raw Data'!AI:AI),"")</f>
        <v/>
      </c>
      <c r="Y146" s="130" t="str">
        <f>IFERROR(_xlfn.XLOOKUP($A146,'Raw Data'!$G:$G,'Raw Data'!AJ:AJ),"")</f>
        <v/>
      </c>
      <c r="Z146" s="130" t="str">
        <f>IFERROR(_xlfn.XLOOKUP($A146,'Raw Data'!$G:$G,'Raw Data'!AK:AK),"")</f>
        <v/>
      </c>
      <c r="AA146" s="130" t="str">
        <f>IFERROR(_xlfn.XLOOKUP($A146,'Raw Data'!$G:$G,'Raw Data'!AL:AL),"")</f>
        <v/>
      </c>
      <c r="AB146" s="130" t="str">
        <f>IFERROR(_xlfn.XLOOKUP($A146,'Raw Data'!$G:$G,'Raw Data'!H:H),"")</f>
        <v/>
      </c>
      <c r="AC146" s="76">
        <f>IFERROR(_xlfn.XLOOKUP($D146,'Modelling New'!$D:$D,'Modelling New'!P:P),"")</f>
        <v>4.2161290322580642</v>
      </c>
      <c r="AD146" s="130">
        <f>IFERROR(_xlfn.XLOOKUP($D146,'Modelling New'!$D:$D,'Modelling New'!$T:$T)*1000,"")</f>
        <v>24273.156786520856</v>
      </c>
      <c r="AE146" s="138">
        <f>IFERROR(_xlfn.XLOOKUP($D146,'Modelling New'!$D:$D,'Modelling New'!O:O),"")</f>
        <v>0.71777654975663252</v>
      </c>
      <c r="AF146" s="137">
        <f>IFERROR(_xlfn.XLOOKUP($D146,'Modelling New'!$D:$D,'Modelling New'!W:W),"")</f>
        <v>0.12609327292095679</v>
      </c>
      <c r="AG146" s="137">
        <f>IFERROR(_xlfn.XLOOKUP($D146,'Modelling New'!$D:$D,'Modelling New'!AE:AE),"")</f>
        <v>0.98040000000000005</v>
      </c>
      <c r="AH146" s="156">
        <f>IFERROR(_xlfn.XLOOKUP($D146,'Modelling New'!$D:$D,'Modelling New'!AF:AF),"")</f>
        <v>0.98</v>
      </c>
      <c r="AN146" s="134"/>
      <c r="AO146" s="137"/>
      <c r="AP146" s="137"/>
      <c r="AQ146" s="137"/>
      <c r="AR146" s="130">
        <f>'Basic Data'!$B$98/1000</f>
        <v>8.0208999999999993</v>
      </c>
    </row>
    <row r="147" spans="1:44" x14ac:dyDescent="0.3">
      <c r="A147" s="129">
        <f t="shared" si="11"/>
        <v>45890</v>
      </c>
      <c r="B147" s="130">
        <f>YEAR(Table13[[#This Row],[Date]])+IF(MONTH(Table13[[#This Row],[Date]])&gt;=4,1,0)</f>
        <v>2026</v>
      </c>
      <c r="C147" s="7">
        <f>YEAR(Table13[[#This Row],[Date]])</f>
        <v>2025</v>
      </c>
      <c r="D147" s="131">
        <f>Table13[[#This Row],[Date]]-DAY(Table13[[#This Row],[Date]])+1</f>
        <v>45870</v>
      </c>
      <c r="E147" s="7">
        <f t="shared" si="8"/>
        <v>31</v>
      </c>
      <c r="F147" s="132" t="str">
        <f>IFERROR(_xlfn.XLOOKUP($A147,'Raw Data'!$G:$G,'Raw Data'!$AM:$AM),"")</f>
        <v/>
      </c>
      <c r="G147" s="133" t="str">
        <f>IFERROR(_xlfn.XLOOKUP($A147,'Raw Data'!$G:$G,'Raw Data'!$AB:$AB),"")</f>
        <v/>
      </c>
      <c r="H147" s="133"/>
      <c r="I147" s="133" t="str">
        <f>IFERROR(_xlfn.XLOOKUP($A147,'Raw Data'!$G:$G,'Raw Data'!$AC:$AC),"")</f>
        <v/>
      </c>
      <c r="J147" s="133"/>
      <c r="K147" s="133" t="str">
        <f>IFERROR(_xlfn.XLOOKUP($A147,'Raw Data'!$G:$G,'Raw Data'!AD:AD),"")</f>
        <v/>
      </c>
      <c r="L147" s="133" t="str">
        <f>IFERROR(_xlfn.XLOOKUP($A147,'Raw Data'!$G:$G,'Raw Data'!AE:AE),"")</f>
        <v/>
      </c>
      <c r="M147" s="133" t="str">
        <f>IFERROR(_xlfn.XLOOKUP($A147,'Raw Data'!$G:$G,'Raw Data'!AF:AF),"")</f>
        <v/>
      </c>
      <c r="N147" s="133" t="str">
        <f>IFERROR(_xlfn.XLOOKUP($A147,'Raw Data'!$G:$G,'Raw Data'!AG:AG),"")</f>
        <v/>
      </c>
      <c r="O147" s="134" t="str">
        <f>IFERROR(1-SUMIF('Plant BD'!$H:$H,$A147,'Plant BD'!$AE:$AE)/($AA147+SUMIF('Plant BD'!$H:$H,$A147,'Plant BD'!$AE:$AE)),"")</f>
        <v/>
      </c>
      <c r="P147" s="134"/>
      <c r="Q147" s="135"/>
      <c r="R147" s="134" t="str">
        <f>IFERROR(1-SUMIF('Grid BD'!$H:$H,$A147,'Grid BD'!$AD:$AD)/($AA147+SUMIF('Grid BD'!$H:$H,$A147,'Grid BD'!$AD:$AD)),"")</f>
        <v/>
      </c>
      <c r="T147" s="135"/>
      <c r="U147" s="136" t="str">
        <f t="shared" si="9"/>
        <v/>
      </c>
      <c r="V147" s="136"/>
      <c r="W147" s="137" t="str">
        <f t="shared" si="10"/>
        <v/>
      </c>
      <c r="X147" s="130" t="str">
        <f>IFERROR(_xlfn.XLOOKUP($A147,'Raw Data'!$G:$G,'Raw Data'!AI:AI),"")</f>
        <v/>
      </c>
      <c r="Y147" s="130" t="str">
        <f>IFERROR(_xlfn.XLOOKUP($A147,'Raw Data'!$G:$G,'Raw Data'!AJ:AJ),"")</f>
        <v/>
      </c>
      <c r="Z147" s="130" t="str">
        <f>IFERROR(_xlfn.XLOOKUP($A147,'Raw Data'!$G:$G,'Raw Data'!AK:AK),"")</f>
        <v/>
      </c>
      <c r="AA147" s="130" t="str">
        <f>IFERROR(_xlfn.XLOOKUP($A147,'Raw Data'!$G:$G,'Raw Data'!AL:AL),"")</f>
        <v/>
      </c>
      <c r="AB147" s="130" t="str">
        <f>IFERROR(_xlfn.XLOOKUP($A147,'Raw Data'!$G:$G,'Raw Data'!H:H),"")</f>
        <v/>
      </c>
      <c r="AC147" s="76">
        <f>IFERROR(_xlfn.XLOOKUP($D147,'Modelling New'!$D:$D,'Modelling New'!P:P),"")</f>
        <v>4.2161290322580642</v>
      </c>
      <c r="AD147" s="130">
        <f>IFERROR(_xlfn.XLOOKUP($D147,'Modelling New'!$D:$D,'Modelling New'!$T:$T)*1000,"")</f>
        <v>24273.156786520856</v>
      </c>
      <c r="AE147" s="138">
        <f>IFERROR(_xlfn.XLOOKUP($D147,'Modelling New'!$D:$D,'Modelling New'!O:O),"")</f>
        <v>0.71777654975663252</v>
      </c>
      <c r="AF147" s="137">
        <f>IFERROR(_xlfn.XLOOKUP($D147,'Modelling New'!$D:$D,'Modelling New'!W:W),"")</f>
        <v>0.12609327292095679</v>
      </c>
      <c r="AG147" s="137">
        <f>IFERROR(_xlfn.XLOOKUP($D147,'Modelling New'!$D:$D,'Modelling New'!AE:AE),"")</f>
        <v>0.98040000000000005</v>
      </c>
      <c r="AH147" s="156">
        <f>IFERROR(_xlfn.XLOOKUP($D147,'Modelling New'!$D:$D,'Modelling New'!AF:AF),"")</f>
        <v>0.98</v>
      </c>
      <c r="AN147" s="134"/>
      <c r="AO147" s="137"/>
      <c r="AP147" s="137"/>
      <c r="AQ147" s="137"/>
      <c r="AR147" s="130">
        <f>'Basic Data'!$B$98/1000</f>
        <v>8.0208999999999993</v>
      </c>
    </row>
    <row r="148" spans="1:44" x14ac:dyDescent="0.3">
      <c r="A148" s="129">
        <f t="shared" si="11"/>
        <v>45891</v>
      </c>
      <c r="B148" s="130">
        <f>YEAR(Table13[[#This Row],[Date]])+IF(MONTH(Table13[[#This Row],[Date]])&gt;=4,1,0)</f>
        <v>2026</v>
      </c>
      <c r="C148" s="7">
        <f>YEAR(Table13[[#This Row],[Date]])</f>
        <v>2025</v>
      </c>
      <c r="D148" s="131">
        <f>Table13[[#This Row],[Date]]-DAY(Table13[[#This Row],[Date]])+1</f>
        <v>45870</v>
      </c>
      <c r="E148" s="7">
        <f t="shared" si="8"/>
        <v>31</v>
      </c>
      <c r="F148" s="132" t="str">
        <f>IFERROR(_xlfn.XLOOKUP($A148,'Raw Data'!$G:$G,'Raw Data'!$AM:$AM),"")</f>
        <v/>
      </c>
      <c r="G148" s="133" t="str">
        <f>IFERROR(_xlfn.XLOOKUP($A148,'Raw Data'!$G:$G,'Raw Data'!$AB:$AB),"")</f>
        <v/>
      </c>
      <c r="H148" s="133"/>
      <c r="I148" s="133" t="str">
        <f>IFERROR(_xlfn.XLOOKUP($A148,'Raw Data'!$G:$G,'Raw Data'!$AC:$AC),"")</f>
        <v/>
      </c>
      <c r="J148" s="133"/>
      <c r="K148" s="133" t="str">
        <f>IFERROR(_xlfn.XLOOKUP($A148,'Raw Data'!$G:$G,'Raw Data'!AD:AD),"")</f>
        <v/>
      </c>
      <c r="L148" s="133" t="str">
        <f>IFERROR(_xlfn.XLOOKUP($A148,'Raw Data'!$G:$G,'Raw Data'!AE:AE),"")</f>
        <v/>
      </c>
      <c r="M148" s="133" t="str">
        <f>IFERROR(_xlfn.XLOOKUP($A148,'Raw Data'!$G:$G,'Raw Data'!AF:AF),"")</f>
        <v/>
      </c>
      <c r="N148" s="133" t="str">
        <f>IFERROR(_xlfn.XLOOKUP($A148,'Raw Data'!$G:$G,'Raw Data'!AG:AG),"")</f>
        <v/>
      </c>
      <c r="O148" s="134" t="str">
        <f>IFERROR(1-SUMIF('Plant BD'!$H:$H,$A148,'Plant BD'!$AE:$AE)/($AA148+SUMIF('Plant BD'!$H:$H,$A148,'Plant BD'!$AE:$AE)),"")</f>
        <v/>
      </c>
      <c r="P148" s="134"/>
      <c r="Q148" s="135"/>
      <c r="R148" s="134" t="str">
        <f>IFERROR(1-SUMIF('Grid BD'!$H:$H,$A148,'Grid BD'!$AD:$AD)/($AA148+SUMIF('Grid BD'!$H:$H,$A148,'Grid BD'!$AD:$AD)),"")</f>
        <v/>
      </c>
      <c r="T148" s="135"/>
      <c r="U148" s="136" t="str">
        <f t="shared" si="9"/>
        <v/>
      </c>
      <c r="V148" s="136"/>
      <c r="W148" s="137" t="str">
        <f t="shared" si="10"/>
        <v/>
      </c>
      <c r="X148" s="130" t="str">
        <f>IFERROR(_xlfn.XLOOKUP($A148,'Raw Data'!$G:$G,'Raw Data'!AI:AI),"")</f>
        <v/>
      </c>
      <c r="Y148" s="130" t="str">
        <f>IFERROR(_xlfn.XLOOKUP($A148,'Raw Data'!$G:$G,'Raw Data'!AJ:AJ),"")</f>
        <v/>
      </c>
      <c r="Z148" s="130" t="str">
        <f>IFERROR(_xlfn.XLOOKUP($A148,'Raw Data'!$G:$G,'Raw Data'!AK:AK),"")</f>
        <v/>
      </c>
      <c r="AA148" s="130" t="str">
        <f>IFERROR(_xlfn.XLOOKUP($A148,'Raw Data'!$G:$G,'Raw Data'!AL:AL),"")</f>
        <v/>
      </c>
      <c r="AB148" s="130" t="str">
        <f>IFERROR(_xlfn.XLOOKUP($A148,'Raw Data'!$G:$G,'Raw Data'!H:H),"")</f>
        <v/>
      </c>
      <c r="AC148" s="76">
        <f>IFERROR(_xlfn.XLOOKUP($D148,'Modelling New'!$D:$D,'Modelling New'!P:P),"")</f>
        <v>4.2161290322580642</v>
      </c>
      <c r="AD148" s="130">
        <f>IFERROR(_xlfn.XLOOKUP($D148,'Modelling New'!$D:$D,'Modelling New'!$T:$T)*1000,"")</f>
        <v>24273.156786520856</v>
      </c>
      <c r="AE148" s="138">
        <f>IFERROR(_xlfn.XLOOKUP($D148,'Modelling New'!$D:$D,'Modelling New'!O:O),"")</f>
        <v>0.71777654975663252</v>
      </c>
      <c r="AF148" s="137">
        <f>IFERROR(_xlfn.XLOOKUP($D148,'Modelling New'!$D:$D,'Modelling New'!W:W),"")</f>
        <v>0.12609327292095679</v>
      </c>
      <c r="AG148" s="137">
        <f>IFERROR(_xlfn.XLOOKUP($D148,'Modelling New'!$D:$D,'Modelling New'!AE:AE),"")</f>
        <v>0.98040000000000005</v>
      </c>
      <c r="AH148" s="156">
        <f>IFERROR(_xlfn.XLOOKUP($D148,'Modelling New'!$D:$D,'Modelling New'!AF:AF),"")</f>
        <v>0.98</v>
      </c>
      <c r="AN148" s="134"/>
      <c r="AO148" s="137"/>
      <c r="AP148" s="137"/>
      <c r="AQ148" s="137"/>
      <c r="AR148" s="130">
        <f>'Basic Data'!$B$98/1000</f>
        <v>8.0208999999999993</v>
      </c>
    </row>
    <row r="149" spans="1:44" x14ac:dyDescent="0.3">
      <c r="A149" s="129">
        <f t="shared" si="11"/>
        <v>45892</v>
      </c>
      <c r="B149" s="130">
        <f>YEAR(Table13[[#This Row],[Date]])+IF(MONTH(Table13[[#This Row],[Date]])&gt;=4,1,0)</f>
        <v>2026</v>
      </c>
      <c r="C149" s="7">
        <f>YEAR(Table13[[#This Row],[Date]])</f>
        <v>2025</v>
      </c>
      <c r="D149" s="131">
        <f>Table13[[#This Row],[Date]]-DAY(Table13[[#This Row],[Date]])+1</f>
        <v>45870</v>
      </c>
      <c r="E149" s="7">
        <f t="shared" si="8"/>
        <v>31</v>
      </c>
      <c r="F149" s="132" t="str">
        <f>IFERROR(_xlfn.XLOOKUP($A149,'Raw Data'!$G:$G,'Raw Data'!$AM:$AM),"")</f>
        <v/>
      </c>
      <c r="G149" s="133" t="str">
        <f>IFERROR(_xlfn.XLOOKUP($A149,'Raw Data'!$G:$G,'Raw Data'!$AB:$AB),"")</f>
        <v/>
      </c>
      <c r="H149" s="133"/>
      <c r="I149" s="133" t="str">
        <f>IFERROR(_xlfn.XLOOKUP($A149,'Raw Data'!$G:$G,'Raw Data'!$AC:$AC),"")</f>
        <v/>
      </c>
      <c r="J149" s="133"/>
      <c r="K149" s="133" t="str">
        <f>IFERROR(_xlfn.XLOOKUP($A149,'Raw Data'!$G:$G,'Raw Data'!AD:AD),"")</f>
        <v/>
      </c>
      <c r="L149" s="133" t="str">
        <f>IFERROR(_xlfn.XLOOKUP($A149,'Raw Data'!$G:$G,'Raw Data'!AE:AE),"")</f>
        <v/>
      </c>
      <c r="M149" s="133" t="str">
        <f>IFERROR(_xlfn.XLOOKUP($A149,'Raw Data'!$G:$G,'Raw Data'!AF:AF),"")</f>
        <v/>
      </c>
      <c r="N149" s="133" t="str">
        <f>IFERROR(_xlfn.XLOOKUP($A149,'Raw Data'!$G:$G,'Raw Data'!AG:AG),"")</f>
        <v/>
      </c>
      <c r="O149" s="134" t="str">
        <f>IFERROR(1-SUMIF('Plant BD'!$H:$H,$A149,'Plant BD'!$AE:$AE)/($AA149+SUMIF('Plant BD'!$H:$H,$A149,'Plant BD'!$AE:$AE)),"")</f>
        <v/>
      </c>
      <c r="P149" s="134"/>
      <c r="Q149" s="135"/>
      <c r="R149" s="134" t="str">
        <f>IFERROR(1-SUMIF('Grid BD'!$H:$H,$A149,'Grid BD'!$AD:$AD)/($AA149+SUMIF('Grid BD'!$H:$H,$A149,'Grid BD'!$AD:$AD)),"")</f>
        <v/>
      </c>
      <c r="T149" s="135"/>
      <c r="U149" s="136" t="str">
        <f t="shared" si="9"/>
        <v/>
      </c>
      <c r="V149" s="136"/>
      <c r="W149" s="137" t="str">
        <f t="shared" si="10"/>
        <v/>
      </c>
      <c r="X149" s="130" t="str">
        <f>IFERROR(_xlfn.XLOOKUP($A149,'Raw Data'!$G:$G,'Raw Data'!AI:AI),"")</f>
        <v/>
      </c>
      <c r="Y149" s="130" t="str">
        <f>IFERROR(_xlfn.XLOOKUP($A149,'Raw Data'!$G:$G,'Raw Data'!AJ:AJ),"")</f>
        <v/>
      </c>
      <c r="Z149" s="130" t="str">
        <f>IFERROR(_xlfn.XLOOKUP($A149,'Raw Data'!$G:$G,'Raw Data'!AK:AK),"")</f>
        <v/>
      </c>
      <c r="AA149" s="130" t="str">
        <f>IFERROR(_xlfn.XLOOKUP($A149,'Raw Data'!$G:$G,'Raw Data'!AL:AL),"")</f>
        <v/>
      </c>
      <c r="AB149" s="130" t="str">
        <f>IFERROR(_xlfn.XLOOKUP($A149,'Raw Data'!$G:$G,'Raw Data'!H:H),"")</f>
        <v/>
      </c>
      <c r="AC149" s="76">
        <f>IFERROR(_xlfn.XLOOKUP($D149,'Modelling New'!$D:$D,'Modelling New'!P:P),"")</f>
        <v>4.2161290322580642</v>
      </c>
      <c r="AD149" s="130">
        <f>IFERROR(_xlfn.XLOOKUP($D149,'Modelling New'!$D:$D,'Modelling New'!$T:$T)*1000,"")</f>
        <v>24273.156786520856</v>
      </c>
      <c r="AE149" s="138">
        <f>IFERROR(_xlfn.XLOOKUP($D149,'Modelling New'!$D:$D,'Modelling New'!O:O),"")</f>
        <v>0.71777654975663252</v>
      </c>
      <c r="AF149" s="137">
        <f>IFERROR(_xlfn.XLOOKUP($D149,'Modelling New'!$D:$D,'Modelling New'!W:W),"")</f>
        <v>0.12609327292095679</v>
      </c>
      <c r="AG149" s="137">
        <f>IFERROR(_xlfn.XLOOKUP($D149,'Modelling New'!$D:$D,'Modelling New'!AE:AE),"")</f>
        <v>0.98040000000000005</v>
      </c>
      <c r="AH149" s="156">
        <f>IFERROR(_xlfn.XLOOKUP($D149,'Modelling New'!$D:$D,'Modelling New'!AF:AF),"")</f>
        <v>0.98</v>
      </c>
      <c r="AN149" s="134"/>
      <c r="AO149" s="137"/>
      <c r="AP149" s="137"/>
      <c r="AQ149" s="137"/>
      <c r="AR149" s="130">
        <f>'Basic Data'!$B$98/1000</f>
        <v>8.0208999999999993</v>
      </c>
    </row>
    <row r="150" spans="1:44" x14ac:dyDescent="0.3">
      <c r="A150" s="129">
        <f t="shared" si="11"/>
        <v>45893</v>
      </c>
      <c r="B150" s="130">
        <f>YEAR(Table13[[#This Row],[Date]])+IF(MONTH(Table13[[#This Row],[Date]])&gt;=4,1,0)</f>
        <v>2026</v>
      </c>
      <c r="C150" s="7">
        <f>YEAR(Table13[[#This Row],[Date]])</f>
        <v>2025</v>
      </c>
      <c r="D150" s="131">
        <f>Table13[[#This Row],[Date]]-DAY(Table13[[#This Row],[Date]])+1</f>
        <v>45870</v>
      </c>
      <c r="E150" s="7">
        <f t="shared" si="8"/>
        <v>31</v>
      </c>
      <c r="F150" s="132" t="str">
        <f>IFERROR(_xlfn.XLOOKUP($A150,'Raw Data'!$G:$G,'Raw Data'!$AM:$AM),"")</f>
        <v/>
      </c>
      <c r="G150" s="133" t="str">
        <f>IFERROR(_xlfn.XLOOKUP($A150,'Raw Data'!$G:$G,'Raw Data'!$AB:$AB),"")</f>
        <v/>
      </c>
      <c r="H150" s="133"/>
      <c r="I150" s="133" t="str">
        <f>IFERROR(_xlfn.XLOOKUP($A150,'Raw Data'!$G:$G,'Raw Data'!$AC:$AC),"")</f>
        <v/>
      </c>
      <c r="J150" s="133"/>
      <c r="K150" s="133" t="str">
        <f>IFERROR(_xlfn.XLOOKUP($A150,'Raw Data'!$G:$G,'Raw Data'!AD:AD),"")</f>
        <v/>
      </c>
      <c r="L150" s="133" t="str">
        <f>IFERROR(_xlfn.XLOOKUP($A150,'Raw Data'!$G:$G,'Raw Data'!AE:AE),"")</f>
        <v/>
      </c>
      <c r="M150" s="133" t="str">
        <f>IFERROR(_xlfn.XLOOKUP($A150,'Raw Data'!$G:$G,'Raw Data'!AF:AF),"")</f>
        <v/>
      </c>
      <c r="N150" s="133" t="str">
        <f>IFERROR(_xlfn.XLOOKUP($A150,'Raw Data'!$G:$G,'Raw Data'!AG:AG),"")</f>
        <v/>
      </c>
      <c r="O150" s="134" t="str">
        <f>IFERROR(1-SUMIF('Plant BD'!$H:$H,$A150,'Plant BD'!$AE:$AE)/($AA150+SUMIF('Plant BD'!$H:$H,$A150,'Plant BD'!$AE:$AE)),"")</f>
        <v/>
      </c>
      <c r="P150" s="134"/>
      <c r="Q150" s="135"/>
      <c r="R150" s="134" t="str">
        <f>IFERROR(1-SUMIF('Grid BD'!$H:$H,$A150,'Grid BD'!$AD:$AD)/($AA150+SUMIF('Grid BD'!$H:$H,$A150,'Grid BD'!$AD:$AD)),"")</f>
        <v/>
      </c>
      <c r="T150" s="135"/>
      <c r="U150" s="136" t="str">
        <f t="shared" si="9"/>
        <v/>
      </c>
      <c r="V150" s="136"/>
      <c r="W150" s="137" t="str">
        <f t="shared" si="10"/>
        <v/>
      </c>
      <c r="X150" s="130" t="str">
        <f>IFERROR(_xlfn.XLOOKUP($A150,'Raw Data'!$G:$G,'Raw Data'!AI:AI),"")</f>
        <v/>
      </c>
      <c r="Y150" s="130" t="str">
        <f>IFERROR(_xlfn.XLOOKUP($A150,'Raw Data'!$G:$G,'Raw Data'!AJ:AJ),"")</f>
        <v/>
      </c>
      <c r="Z150" s="130" t="str">
        <f>IFERROR(_xlfn.XLOOKUP($A150,'Raw Data'!$G:$G,'Raw Data'!AK:AK),"")</f>
        <v/>
      </c>
      <c r="AA150" s="130" t="str">
        <f>IFERROR(_xlfn.XLOOKUP($A150,'Raw Data'!$G:$G,'Raw Data'!AL:AL),"")</f>
        <v/>
      </c>
      <c r="AB150" s="130" t="str">
        <f>IFERROR(_xlfn.XLOOKUP($A150,'Raw Data'!$G:$G,'Raw Data'!H:H),"")</f>
        <v/>
      </c>
      <c r="AC150" s="76">
        <f>IFERROR(_xlfn.XLOOKUP($D150,'Modelling New'!$D:$D,'Modelling New'!P:P),"")</f>
        <v>4.2161290322580642</v>
      </c>
      <c r="AD150" s="130">
        <f>IFERROR(_xlfn.XLOOKUP($D150,'Modelling New'!$D:$D,'Modelling New'!$T:$T)*1000,"")</f>
        <v>24273.156786520856</v>
      </c>
      <c r="AE150" s="138">
        <f>IFERROR(_xlfn.XLOOKUP($D150,'Modelling New'!$D:$D,'Modelling New'!O:O),"")</f>
        <v>0.71777654975663252</v>
      </c>
      <c r="AF150" s="137">
        <f>IFERROR(_xlfn.XLOOKUP($D150,'Modelling New'!$D:$D,'Modelling New'!W:W),"")</f>
        <v>0.12609327292095679</v>
      </c>
      <c r="AG150" s="137">
        <f>IFERROR(_xlfn.XLOOKUP($D150,'Modelling New'!$D:$D,'Modelling New'!AE:AE),"")</f>
        <v>0.98040000000000005</v>
      </c>
      <c r="AH150" s="156">
        <f>IFERROR(_xlfn.XLOOKUP($D150,'Modelling New'!$D:$D,'Modelling New'!AF:AF),"")</f>
        <v>0.98</v>
      </c>
      <c r="AN150" s="134"/>
      <c r="AO150" s="137"/>
      <c r="AP150" s="137"/>
      <c r="AQ150" s="137"/>
      <c r="AR150" s="130">
        <f>'Basic Data'!$B$98/1000</f>
        <v>8.0208999999999993</v>
      </c>
    </row>
    <row r="151" spans="1:44" x14ac:dyDescent="0.3">
      <c r="A151" s="129">
        <f t="shared" si="11"/>
        <v>45894</v>
      </c>
      <c r="B151" s="130">
        <f>YEAR(Table13[[#This Row],[Date]])+IF(MONTH(Table13[[#This Row],[Date]])&gt;=4,1,0)</f>
        <v>2026</v>
      </c>
      <c r="C151" s="7">
        <f>YEAR(Table13[[#This Row],[Date]])</f>
        <v>2025</v>
      </c>
      <c r="D151" s="131">
        <f>Table13[[#This Row],[Date]]-DAY(Table13[[#This Row],[Date]])+1</f>
        <v>45870</v>
      </c>
      <c r="E151" s="7">
        <f t="shared" si="8"/>
        <v>31</v>
      </c>
      <c r="F151" s="132" t="str">
        <f>IFERROR(_xlfn.XLOOKUP($A151,'Raw Data'!$G:$G,'Raw Data'!$AM:$AM),"")</f>
        <v/>
      </c>
      <c r="G151" s="133" t="str">
        <f>IFERROR(_xlfn.XLOOKUP($A151,'Raw Data'!$G:$G,'Raw Data'!$AB:$AB),"")</f>
        <v/>
      </c>
      <c r="H151" s="133"/>
      <c r="I151" s="133" t="str">
        <f>IFERROR(_xlfn.XLOOKUP($A151,'Raw Data'!$G:$G,'Raw Data'!$AC:$AC),"")</f>
        <v/>
      </c>
      <c r="J151" s="133"/>
      <c r="K151" s="133" t="str">
        <f>IFERROR(_xlfn.XLOOKUP($A151,'Raw Data'!$G:$G,'Raw Data'!AD:AD),"")</f>
        <v/>
      </c>
      <c r="L151" s="133" t="str">
        <f>IFERROR(_xlfn.XLOOKUP($A151,'Raw Data'!$G:$G,'Raw Data'!AE:AE),"")</f>
        <v/>
      </c>
      <c r="M151" s="133" t="str">
        <f>IFERROR(_xlfn.XLOOKUP($A151,'Raw Data'!$G:$G,'Raw Data'!AF:AF),"")</f>
        <v/>
      </c>
      <c r="N151" s="133" t="str">
        <f>IFERROR(_xlfn.XLOOKUP($A151,'Raw Data'!$G:$G,'Raw Data'!AG:AG),"")</f>
        <v/>
      </c>
      <c r="O151" s="134" t="str">
        <f>IFERROR(1-SUMIF('Plant BD'!$H:$H,$A151,'Plant BD'!$AE:$AE)/($AA151+SUMIF('Plant BD'!$H:$H,$A151,'Plant BD'!$AE:$AE)),"")</f>
        <v/>
      </c>
      <c r="P151" s="134"/>
      <c r="Q151" s="135"/>
      <c r="R151" s="134" t="str">
        <f>IFERROR(1-SUMIF('Grid BD'!$H:$H,$A151,'Grid BD'!$AD:$AD)/($AA151+SUMIF('Grid BD'!$H:$H,$A151,'Grid BD'!$AD:$AD)),"")</f>
        <v/>
      </c>
      <c r="T151" s="135"/>
      <c r="U151" s="136" t="str">
        <f t="shared" si="9"/>
        <v/>
      </c>
      <c r="V151" s="136"/>
      <c r="W151" s="137" t="str">
        <f t="shared" si="10"/>
        <v/>
      </c>
      <c r="X151" s="130" t="str">
        <f>IFERROR(_xlfn.XLOOKUP($A151,'Raw Data'!$G:$G,'Raw Data'!AI:AI),"")</f>
        <v/>
      </c>
      <c r="Y151" s="130" t="str">
        <f>IFERROR(_xlfn.XLOOKUP($A151,'Raw Data'!$G:$G,'Raw Data'!AJ:AJ),"")</f>
        <v/>
      </c>
      <c r="Z151" s="130" t="str">
        <f>IFERROR(_xlfn.XLOOKUP($A151,'Raw Data'!$G:$G,'Raw Data'!AK:AK),"")</f>
        <v/>
      </c>
      <c r="AA151" s="130" t="str">
        <f>IFERROR(_xlfn.XLOOKUP($A151,'Raw Data'!$G:$G,'Raw Data'!AL:AL),"")</f>
        <v/>
      </c>
      <c r="AB151" s="130" t="str">
        <f>IFERROR(_xlfn.XLOOKUP($A151,'Raw Data'!$G:$G,'Raw Data'!H:H),"")</f>
        <v/>
      </c>
      <c r="AC151" s="76">
        <f>IFERROR(_xlfn.XLOOKUP($D151,'Modelling New'!$D:$D,'Modelling New'!P:P),"")</f>
        <v>4.2161290322580642</v>
      </c>
      <c r="AD151" s="130">
        <f>IFERROR(_xlfn.XLOOKUP($D151,'Modelling New'!$D:$D,'Modelling New'!$T:$T)*1000,"")</f>
        <v>24273.156786520856</v>
      </c>
      <c r="AE151" s="138">
        <f>IFERROR(_xlfn.XLOOKUP($D151,'Modelling New'!$D:$D,'Modelling New'!O:O),"")</f>
        <v>0.71777654975663252</v>
      </c>
      <c r="AF151" s="137">
        <f>IFERROR(_xlfn.XLOOKUP($D151,'Modelling New'!$D:$D,'Modelling New'!W:W),"")</f>
        <v>0.12609327292095679</v>
      </c>
      <c r="AG151" s="137">
        <f>IFERROR(_xlfn.XLOOKUP($D151,'Modelling New'!$D:$D,'Modelling New'!AE:AE),"")</f>
        <v>0.98040000000000005</v>
      </c>
      <c r="AH151" s="156">
        <f>IFERROR(_xlfn.XLOOKUP($D151,'Modelling New'!$D:$D,'Modelling New'!AF:AF),"")</f>
        <v>0.98</v>
      </c>
      <c r="AN151" s="134"/>
      <c r="AO151" s="137"/>
      <c r="AP151" s="137"/>
      <c r="AQ151" s="137"/>
      <c r="AR151" s="130">
        <f>'Basic Data'!$B$98/1000</f>
        <v>8.0208999999999993</v>
      </c>
    </row>
    <row r="152" spans="1:44" x14ac:dyDescent="0.3">
      <c r="A152" s="129">
        <f t="shared" si="11"/>
        <v>45895</v>
      </c>
      <c r="B152" s="130">
        <f>YEAR(Table13[[#This Row],[Date]])+IF(MONTH(Table13[[#This Row],[Date]])&gt;=4,1,0)</f>
        <v>2026</v>
      </c>
      <c r="C152" s="7">
        <f>YEAR(Table13[[#This Row],[Date]])</f>
        <v>2025</v>
      </c>
      <c r="D152" s="131">
        <f>Table13[[#This Row],[Date]]-DAY(Table13[[#This Row],[Date]])+1</f>
        <v>45870</v>
      </c>
      <c r="E152" s="7">
        <f t="shared" si="8"/>
        <v>31</v>
      </c>
      <c r="F152" s="132" t="str">
        <f>IFERROR(_xlfn.XLOOKUP($A152,'Raw Data'!$G:$G,'Raw Data'!$AM:$AM),"")</f>
        <v/>
      </c>
      <c r="G152" s="133" t="str">
        <f>IFERROR(_xlfn.XLOOKUP($A152,'Raw Data'!$G:$G,'Raw Data'!$AB:$AB),"")</f>
        <v/>
      </c>
      <c r="H152" s="133"/>
      <c r="I152" s="133" t="str">
        <f>IFERROR(_xlfn.XLOOKUP($A152,'Raw Data'!$G:$G,'Raw Data'!$AC:$AC),"")</f>
        <v/>
      </c>
      <c r="J152" s="133"/>
      <c r="K152" s="133" t="str">
        <f>IFERROR(_xlfn.XLOOKUP($A152,'Raw Data'!$G:$G,'Raw Data'!AD:AD),"")</f>
        <v/>
      </c>
      <c r="L152" s="133" t="str">
        <f>IFERROR(_xlfn.XLOOKUP($A152,'Raw Data'!$G:$G,'Raw Data'!AE:AE),"")</f>
        <v/>
      </c>
      <c r="M152" s="133" t="str">
        <f>IFERROR(_xlfn.XLOOKUP($A152,'Raw Data'!$G:$G,'Raw Data'!AF:AF),"")</f>
        <v/>
      </c>
      <c r="N152" s="133" t="str">
        <f>IFERROR(_xlfn.XLOOKUP($A152,'Raw Data'!$G:$G,'Raw Data'!AG:AG),"")</f>
        <v/>
      </c>
      <c r="O152" s="134" t="str">
        <f>IFERROR(1-SUMIF('Plant BD'!$H:$H,$A152,'Plant BD'!$AE:$AE)/($AA152+SUMIF('Plant BD'!$H:$H,$A152,'Plant BD'!$AE:$AE)),"")</f>
        <v/>
      </c>
      <c r="P152" s="134"/>
      <c r="Q152" s="135"/>
      <c r="R152" s="134" t="str">
        <f>IFERROR(1-SUMIF('Grid BD'!$H:$H,$A152,'Grid BD'!$AD:$AD)/($AA152+SUMIF('Grid BD'!$H:$H,$A152,'Grid BD'!$AD:$AD)),"")</f>
        <v/>
      </c>
      <c r="T152" s="135"/>
      <c r="U152" s="136" t="str">
        <f t="shared" si="9"/>
        <v/>
      </c>
      <c r="V152" s="136"/>
      <c r="W152" s="137" t="str">
        <f t="shared" si="10"/>
        <v/>
      </c>
      <c r="X152" s="130" t="str">
        <f>IFERROR(_xlfn.XLOOKUP($A152,'Raw Data'!$G:$G,'Raw Data'!AI:AI),"")</f>
        <v/>
      </c>
      <c r="Y152" s="130" t="str">
        <f>IFERROR(_xlfn.XLOOKUP($A152,'Raw Data'!$G:$G,'Raw Data'!AJ:AJ),"")</f>
        <v/>
      </c>
      <c r="Z152" s="130" t="str">
        <f>IFERROR(_xlfn.XLOOKUP($A152,'Raw Data'!$G:$G,'Raw Data'!AK:AK),"")</f>
        <v/>
      </c>
      <c r="AA152" s="130" t="str">
        <f>IFERROR(_xlfn.XLOOKUP($A152,'Raw Data'!$G:$G,'Raw Data'!AL:AL),"")</f>
        <v/>
      </c>
      <c r="AB152" s="130" t="str">
        <f>IFERROR(_xlfn.XLOOKUP($A152,'Raw Data'!$G:$G,'Raw Data'!H:H),"")</f>
        <v/>
      </c>
      <c r="AC152" s="76">
        <f>IFERROR(_xlfn.XLOOKUP($D152,'Modelling New'!$D:$D,'Modelling New'!P:P),"")</f>
        <v>4.2161290322580642</v>
      </c>
      <c r="AD152" s="130">
        <f>IFERROR(_xlfn.XLOOKUP($D152,'Modelling New'!$D:$D,'Modelling New'!$T:$T)*1000,"")</f>
        <v>24273.156786520856</v>
      </c>
      <c r="AE152" s="138">
        <f>IFERROR(_xlfn.XLOOKUP($D152,'Modelling New'!$D:$D,'Modelling New'!O:O),"")</f>
        <v>0.71777654975663252</v>
      </c>
      <c r="AF152" s="137">
        <f>IFERROR(_xlfn.XLOOKUP($D152,'Modelling New'!$D:$D,'Modelling New'!W:W),"")</f>
        <v>0.12609327292095679</v>
      </c>
      <c r="AG152" s="137">
        <f>IFERROR(_xlfn.XLOOKUP($D152,'Modelling New'!$D:$D,'Modelling New'!AE:AE),"")</f>
        <v>0.98040000000000005</v>
      </c>
      <c r="AH152" s="156">
        <f>IFERROR(_xlfn.XLOOKUP($D152,'Modelling New'!$D:$D,'Modelling New'!AF:AF),"")</f>
        <v>0.98</v>
      </c>
      <c r="AN152" s="134"/>
      <c r="AO152" s="137"/>
      <c r="AP152" s="137"/>
      <c r="AQ152" s="137"/>
      <c r="AR152" s="130">
        <f>'Basic Data'!$B$98/1000</f>
        <v>8.0208999999999993</v>
      </c>
    </row>
    <row r="153" spans="1:44" x14ac:dyDescent="0.3">
      <c r="A153" s="129">
        <f t="shared" si="11"/>
        <v>45896</v>
      </c>
      <c r="B153" s="130">
        <f>YEAR(Table13[[#This Row],[Date]])+IF(MONTH(Table13[[#This Row],[Date]])&gt;=4,1,0)</f>
        <v>2026</v>
      </c>
      <c r="C153" s="7">
        <f>YEAR(Table13[[#This Row],[Date]])</f>
        <v>2025</v>
      </c>
      <c r="D153" s="131">
        <f>Table13[[#This Row],[Date]]-DAY(Table13[[#This Row],[Date]])+1</f>
        <v>45870</v>
      </c>
      <c r="E153" s="7">
        <f t="shared" si="8"/>
        <v>31</v>
      </c>
      <c r="F153" s="132" t="str">
        <f>IFERROR(_xlfn.XLOOKUP($A153,'Raw Data'!$G:$G,'Raw Data'!$AM:$AM),"")</f>
        <v/>
      </c>
      <c r="G153" s="133" t="str">
        <f>IFERROR(_xlfn.XLOOKUP($A153,'Raw Data'!$G:$G,'Raw Data'!$AB:$AB),"")</f>
        <v/>
      </c>
      <c r="H153" s="133"/>
      <c r="I153" s="133" t="str">
        <f>IFERROR(_xlfn.XLOOKUP($A153,'Raw Data'!$G:$G,'Raw Data'!$AC:$AC),"")</f>
        <v/>
      </c>
      <c r="J153" s="133"/>
      <c r="K153" s="133" t="str">
        <f>IFERROR(_xlfn.XLOOKUP($A153,'Raw Data'!$G:$G,'Raw Data'!AD:AD),"")</f>
        <v/>
      </c>
      <c r="L153" s="133" t="str">
        <f>IFERROR(_xlfn.XLOOKUP($A153,'Raw Data'!$G:$G,'Raw Data'!AE:AE),"")</f>
        <v/>
      </c>
      <c r="M153" s="133" t="str">
        <f>IFERROR(_xlfn.XLOOKUP($A153,'Raw Data'!$G:$G,'Raw Data'!AF:AF),"")</f>
        <v/>
      </c>
      <c r="N153" s="133" t="str">
        <f>IFERROR(_xlfn.XLOOKUP($A153,'Raw Data'!$G:$G,'Raw Data'!AG:AG),"")</f>
        <v/>
      </c>
      <c r="O153" s="134" t="str">
        <f>IFERROR(1-SUMIF('Plant BD'!$H:$H,$A153,'Plant BD'!$AE:$AE)/($AA153+SUMIF('Plant BD'!$H:$H,$A153,'Plant BD'!$AE:$AE)),"")</f>
        <v/>
      </c>
      <c r="P153" s="134"/>
      <c r="Q153" s="135"/>
      <c r="R153" s="134" t="str">
        <f>IFERROR(1-SUMIF('Grid BD'!$H:$H,$A153,'Grid BD'!$AD:$AD)/($AA153+SUMIF('Grid BD'!$H:$H,$A153,'Grid BD'!$AD:$AD)),"")</f>
        <v/>
      </c>
      <c r="T153" s="135"/>
      <c r="U153" s="136" t="str">
        <f t="shared" si="9"/>
        <v/>
      </c>
      <c r="V153" s="136"/>
      <c r="W153" s="137" t="str">
        <f t="shared" si="10"/>
        <v/>
      </c>
      <c r="X153" s="130" t="str">
        <f>IFERROR(_xlfn.XLOOKUP($A153,'Raw Data'!$G:$G,'Raw Data'!AI:AI),"")</f>
        <v/>
      </c>
      <c r="Y153" s="130" t="str">
        <f>IFERROR(_xlfn.XLOOKUP($A153,'Raw Data'!$G:$G,'Raw Data'!AJ:AJ),"")</f>
        <v/>
      </c>
      <c r="Z153" s="130" t="str">
        <f>IFERROR(_xlfn.XLOOKUP($A153,'Raw Data'!$G:$G,'Raw Data'!AK:AK),"")</f>
        <v/>
      </c>
      <c r="AA153" s="130" t="str">
        <f>IFERROR(_xlfn.XLOOKUP($A153,'Raw Data'!$G:$G,'Raw Data'!AL:AL),"")</f>
        <v/>
      </c>
      <c r="AB153" s="130" t="str">
        <f>IFERROR(_xlfn.XLOOKUP($A153,'Raw Data'!$G:$G,'Raw Data'!H:H),"")</f>
        <v/>
      </c>
      <c r="AC153" s="76">
        <f>IFERROR(_xlfn.XLOOKUP($D153,'Modelling New'!$D:$D,'Modelling New'!P:P),"")</f>
        <v>4.2161290322580642</v>
      </c>
      <c r="AD153" s="130">
        <f>IFERROR(_xlfn.XLOOKUP($D153,'Modelling New'!$D:$D,'Modelling New'!$T:$T)*1000,"")</f>
        <v>24273.156786520856</v>
      </c>
      <c r="AE153" s="138">
        <f>IFERROR(_xlfn.XLOOKUP($D153,'Modelling New'!$D:$D,'Modelling New'!O:O),"")</f>
        <v>0.71777654975663252</v>
      </c>
      <c r="AF153" s="137">
        <f>IFERROR(_xlfn.XLOOKUP($D153,'Modelling New'!$D:$D,'Modelling New'!W:W),"")</f>
        <v>0.12609327292095679</v>
      </c>
      <c r="AG153" s="137">
        <f>IFERROR(_xlfn.XLOOKUP($D153,'Modelling New'!$D:$D,'Modelling New'!AE:AE),"")</f>
        <v>0.98040000000000005</v>
      </c>
      <c r="AH153" s="156">
        <f>IFERROR(_xlfn.XLOOKUP($D153,'Modelling New'!$D:$D,'Modelling New'!AF:AF),"")</f>
        <v>0.98</v>
      </c>
      <c r="AN153" s="134"/>
      <c r="AO153" s="137"/>
      <c r="AP153" s="137"/>
      <c r="AQ153" s="137"/>
      <c r="AR153" s="130">
        <f>'Basic Data'!$B$98/1000</f>
        <v>8.0208999999999993</v>
      </c>
    </row>
    <row r="154" spans="1:44" x14ac:dyDescent="0.3">
      <c r="A154" s="129">
        <f t="shared" si="11"/>
        <v>45897</v>
      </c>
      <c r="B154" s="130">
        <f>YEAR(Table13[[#This Row],[Date]])+IF(MONTH(Table13[[#This Row],[Date]])&gt;=4,1,0)</f>
        <v>2026</v>
      </c>
      <c r="C154" s="7">
        <f>YEAR(Table13[[#This Row],[Date]])</f>
        <v>2025</v>
      </c>
      <c r="D154" s="131">
        <f>Table13[[#This Row],[Date]]-DAY(Table13[[#This Row],[Date]])+1</f>
        <v>45870</v>
      </c>
      <c r="E154" s="7">
        <f t="shared" si="8"/>
        <v>31</v>
      </c>
      <c r="F154" s="132" t="str">
        <f>IFERROR(_xlfn.XLOOKUP($A154,'Raw Data'!$G:$G,'Raw Data'!$AM:$AM),"")</f>
        <v/>
      </c>
      <c r="G154" s="133" t="str">
        <f>IFERROR(_xlfn.XLOOKUP($A154,'Raw Data'!$G:$G,'Raw Data'!$AB:$AB),"")</f>
        <v/>
      </c>
      <c r="H154" s="133"/>
      <c r="I154" s="133" t="str">
        <f>IFERROR(_xlfn.XLOOKUP($A154,'Raw Data'!$G:$G,'Raw Data'!$AC:$AC),"")</f>
        <v/>
      </c>
      <c r="J154" s="133"/>
      <c r="K154" s="133" t="str">
        <f>IFERROR(_xlfn.XLOOKUP($A154,'Raw Data'!$G:$G,'Raw Data'!AD:AD),"")</f>
        <v/>
      </c>
      <c r="L154" s="133" t="str">
        <f>IFERROR(_xlfn.XLOOKUP($A154,'Raw Data'!$G:$G,'Raw Data'!AE:AE),"")</f>
        <v/>
      </c>
      <c r="M154" s="133" t="str">
        <f>IFERROR(_xlfn.XLOOKUP($A154,'Raw Data'!$G:$G,'Raw Data'!AF:AF),"")</f>
        <v/>
      </c>
      <c r="N154" s="133" t="str">
        <f>IFERROR(_xlfn.XLOOKUP($A154,'Raw Data'!$G:$G,'Raw Data'!AG:AG),"")</f>
        <v/>
      </c>
      <c r="O154" s="134" t="str">
        <f>IFERROR(1-SUMIF('Plant BD'!$H:$H,$A154,'Plant BD'!$AE:$AE)/($AA154+SUMIF('Plant BD'!$H:$H,$A154,'Plant BD'!$AE:$AE)),"")</f>
        <v/>
      </c>
      <c r="P154" s="134"/>
      <c r="Q154" s="135"/>
      <c r="R154" s="134" t="str">
        <f>IFERROR(1-SUMIF('Grid BD'!$H:$H,$A154,'Grid BD'!$AD:$AD)/($AA154+SUMIF('Grid BD'!$H:$H,$A154,'Grid BD'!$AD:$AD)),"")</f>
        <v/>
      </c>
      <c r="T154" s="135"/>
      <c r="U154" s="136" t="str">
        <f t="shared" si="9"/>
        <v/>
      </c>
      <c r="V154" s="136"/>
      <c r="W154" s="137" t="str">
        <f t="shared" si="10"/>
        <v/>
      </c>
      <c r="X154" s="130" t="str">
        <f>IFERROR(_xlfn.XLOOKUP($A154,'Raw Data'!$G:$G,'Raw Data'!AI:AI),"")</f>
        <v/>
      </c>
      <c r="Y154" s="130" t="str">
        <f>IFERROR(_xlfn.XLOOKUP($A154,'Raw Data'!$G:$G,'Raw Data'!AJ:AJ),"")</f>
        <v/>
      </c>
      <c r="Z154" s="130" t="str">
        <f>IFERROR(_xlfn.XLOOKUP($A154,'Raw Data'!$G:$G,'Raw Data'!AK:AK),"")</f>
        <v/>
      </c>
      <c r="AA154" s="130" t="str">
        <f>IFERROR(_xlfn.XLOOKUP($A154,'Raw Data'!$G:$G,'Raw Data'!AL:AL),"")</f>
        <v/>
      </c>
      <c r="AB154" s="130" t="str">
        <f>IFERROR(_xlfn.XLOOKUP($A154,'Raw Data'!$G:$G,'Raw Data'!H:H),"")</f>
        <v/>
      </c>
      <c r="AC154" s="76">
        <f>IFERROR(_xlfn.XLOOKUP($D154,'Modelling New'!$D:$D,'Modelling New'!P:P),"")</f>
        <v>4.2161290322580642</v>
      </c>
      <c r="AD154" s="130">
        <f>IFERROR(_xlfn.XLOOKUP($D154,'Modelling New'!$D:$D,'Modelling New'!$T:$T)*1000,"")</f>
        <v>24273.156786520856</v>
      </c>
      <c r="AE154" s="138">
        <f>IFERROR(_xlfn.XLOOKUP($D154,'Modelling New'!$D:$D,'Modelling New'!O:O),"")</f>
        <v>0.71777654975663252</v>
      </c>
      <c r="AF154" s="137">
        <f>IFERROR(_xlfn.XLOOKUP($D154,'Modelling New'!$D:$D,'Modelling New'!W:W),"")</f>
        <v>0.12609327292095679</v>
      </c>
      <c r="AG154" s="137">
        <f>IFERROR(_xlfn.XLOOKUP($D154,'Modelling New'!$D:$D,'Modelling New'!AE:AE),"")</f>
        <v>0.98040000000000005</v>
      </c>
      <c r="AH154" s="156">
        <f>IFERROR(_xlfn.XLOOKUP($D154,'Modelling New'!$D:$D,'Modelling New'!AF:AF),"")</f>
        <v>0.98</v>
      </c>
      <c r="AN154" s="134"/>
      <c r="AO154" s="137"/>
      <c r="AP154" s="137"/>
      <c r="AQ154" s="137"/>
      <c r="AR154" s="130">
        <f>'Basic Data'!$B$98/1000</f>
        <v>8.0208999999999993</v>
      </c>
    </row>
    <row r="155" spans="1:44" x14ac:dyDescent="0.3">
      <c r="A155" s="129">
        <f t="shared" si="11"/>
        <v>45898</v>
      </c>
      <c r="B155" s="130">
        <f>YEAR(Table13[[#This Row],[Date]])+IF(MONTH(Table13[[#This Row],[Date]])&gt;=4,1,0)</f>
        <v>2026</v>
      </c>
      <c r="C155" s="7">
        <f>YEAR(Table13[[#This Row],[Date]])</f>
        <v>2025</v>
      </c>
      <c r="D155" s="131">
        <f>Table13[[#This Row],[Date]]-DAY(Table13[[#This Row],[Date]])+1</f>
        <v>45870</v>
      </c>
      <c r="E155" s="7">
        <f t="shared" si="8"/>
        <v>31</v>
      </c>
      <c r="F155" s="132" t="str">
        <f>IFERROR(_xlfn.XLOOKUP($A155,'Raw Data'!$G:$G,'Raw Data'!$AM:$AM),"")</f>
        <v/>
      </c>
      <c r="G155" s="133" t="str">
        <f>IFERROR(_xlfn.XLOOKUP($A155,'Raw Data'!$G:$G,'Raw Data'!$AB:$AB),"")</f>
        <v/>
      </c>
      <c r="H155" s="133"/>
      <c r="I155" s="133" t="str">
        <f>IFERROR(_xlfn.XLOOKUP($A155,'Raw Data'!$G:$G,'Raw Data'!$AC:$AC),"")</f>
        <v/>
      </c>
      <c r="J155" s="133"/>
      <c r="K155" s="133" t="str">
        <f>IFERROR(_xlfn.XLOOKUP($A155,'Raw Data'!$G:$G,'Raw Data'!AD:AD),"")</f>
        <v/>
      </c>
      <c r="L155" s="133" t="str">
        <f>IFERROR(_xlfn.XLOOKUP($A155,'Raw Data'!$G:$G,'Raw Data'!AE:AE),"")</f>
        <v/>
      </c>
      <c r="M155" s="133" t="str">
        <f>IFERROR(_xlfn.XLOOKUP($A155,'Raw Data'!$G:$G,'Raw Data'!AF:AF),"")</f>
        <v/>
      </c>
      <c r="N155" s="133" t="str">
        <f>IFERROR(_xlfn.XLOOKUP($A155,'Raw Data'!$G:$G,'Raw Data'!AG:AG),"")</f>
        <v/>
      </c>
      <c r="O155" s="134" t="str">
        <f>IFERROR(1-SUMIF('Plant BD'!$H:$H,$A155,'Plant BD'!$AE:$AE)/($AA155+SUMIF('Plant BD'!$H:$H,$A155,'Plant BD'!$AE:$AE)),"")</f>
        <v/>
      </c>
      <c r="P155" s="134"/>
      <c r="Q155" s="135"/>
      <c r="R155" s="134" t="str">
        <f>IFERROR(1-SUMIF('Grid BD'!$H:$H,$A155,'Grid BD'!$AD:$AD)/($AA155+SUMIF('Grid BD'!$H:$H,$A155,'Grid BD'!$AD:$AD)),"")</f>
        <v/>
      </c>
      <c r="T155" s="135"/>
      <c r="U155" s="136" t="str">
        <f t="shared" si="9"/>
        <v/>
      </c>
      <c r="V155" s="136"/>
      <c r="W155" s="137" t="str">
        <f t="shared" si="10"/>
        <v/>
      </c>
      <c r="X155" s="130" t="str">
        <f>IFERROR(_xlfn.XLOOKUP($A155,'Raw Data'!$G:$G,'Raw Data'!AI:AI),"")</f>
        <v/>
      </c>
      <c r="Y155" s="130" t="str">
        <f>IFERROR(_xlfn.XLOOKUP($A155,'Raw Data'!$G:$G,'Raw Data'!AJ:AJ),"")</f>
        <v/>
      </c>
      <c r="Z155" s="130" t="str">
        <f>IFERROR(_xlfn.XLOOKUP($A155,'Raw Data'!$G:$G,'Raw Data'!AK:AK),"")</f>
        <v/>
      </c>
      <c r="AA155" s="130" t="str">
        <f>IFERROR(_xlfn.XLOOKUP($A155,'Raw Data'!$G:$G,'Raw Data'!AL:AL),"")</f>
        <v/>
      </c>
      <c r="AB155" s="130" t="str">
        <f>IFERROR(_xlfn.XLOOKUP($A155,'Raw Data'!$G:$G,'Raw Data'!H:H),"")</f>
        <v/>
      </c>
      <c r="AC155" s="76">
        <f>IFERROR(_xlfn.XLOOKUP($D155,'Modelling New'!$D:$D,'Modelling New'!P:P),"")</f>
        <v>4.2161290322580642</v>
      </c>
      <c r="AD155" s="130">
        <f>IFERROR(_xlfn.XLOOKUP($D155,'Modelling New'!$D:$D,'Modelling New'!$T:$T)*1000,"")</f>
        <v>24273.156786520856</v>
      </c>
      <c r="AE155" s="138">
        <f>IFERROR(_xlfn.XLOOKUP($D155,'Modelling New'!$D:$D,'Modelling New'!O:O),"")</f>
        <v>0.71777654975663252</v>
      </c>
      <c r="AF155" s="137">
        <f>IFERROR(_xlfn.XLOOKUP($D155,'Modelling New'!$D:$D,'Modelling New'!W:W),"")</f>
        <v>0.12609327292095679</v>
      </c>
      <c r="AG155" s="137">
        <f>IFERROR(_xlfn.XLOOKUP($D155,'Modelling New'!$D:$D,'Modelling New'!AE:AE),"")</f>
        <v>0.98040000000000005</v>
      </c>
      <c r="AH155" s="156">
        <f>IFERROR(_xlfn.XLOOKUP($D155,'Modelling New'!$D:$D,'Modelling New'!AF:AF),"")</f>
        <v>0.98</v>
      </c>
      <c r="AN155" s="134"/>
      <c r="AO155" s="137"/>
      <c r="AP155" s="137"/>
      <c r="AQ155" s="137"/>
      <c r="AR155" s="130">
        <f>'Basic Data'!$B$98/1000</f>
        <v>8.0208999999999993</v>
      </c>
    </row>
    <row r="156" spans="1:44" x14ac:dyDescent="0.3">
      <c r="A156" s="129">
        <f t="shared" si="11"/>
        <v>45899</v>
      </c>
      <c r="B156" s="130">
        <f>YEAR(Table13[[#This Row],[Date]])+IF(MONTH(Table13[[#This Row],[Date]])&gt;=4,1,0)</f>
        <v>2026</v>
      </c>
      <c r="C156" s="7">
        <f>YEAR(Table13[[#This Row],[Date]])</f>
        <v>2025</v>
      </c>
      <c r="D156" s="131">
        <f>Table13[[#This Row],[Date]]-DAY(Table13[[#This Row],[Date]])+1</f>
        <v>45870</v>
      </c>
      <c r="E156" s="7">
        <f t="shared" si="8"/>
        <v>31</v>
      </c>
      <c r="F156" s="132" t="str">
        <f>IFERROR(_xlfn.XLOOKUP($A156,'Raw Data'!$G:$G,'Raw Data'!$AM:$AM),"")</f>
        <v/>
      </c>
      <c r="G156" s="133" t="str">
        <f>IFERROR(_xlfn.XLOOKUP($A156,'Raw Data'!$G:$G,'Raw Data'!$AB:$AB),"")</f>
        <v/>
      </c>
      <c r="H156" s="133"/>
      <c r="I156" s="133" t="str">
        <f>IFERROR(_xlfn.XLOOKUP($A156,'Raw Data'!$G:$G,'Raw Data'!$AC:$AC),"")</f>
        <v/>
      </c>
      <c r="J156" s="133"/>
      <c r="K156" s="133" t="str">
        <f>IFERROR(_xlfn.XLOOKUP($A156,'Raw Data'!$G:$G,'Raw Data'!AD:AD),"")</f>
        <v/>
      </c>
      <c r="L156" s="133" t="str">
        <f>IFERROR(_xlfn.XLOOKUP($A156,'Raw Data'!$G:$G,'Raw Data'!AE:AE),"")</f>
        <v/>
      </c>
      <c r="M156" s="133" t="str">
        <f>IFERROR(_xlfn.XLOOKUP($A156,'Raw Data'!$G:$G,'Raw Data'!AF:AF),"")</f>
        <v/>
      </c>
      <c r="N156" s="133" t="str">
        <f>IFERROR(_xlfn.XLOOKUP($A156,'Raw Data'!$G:$G,'Raw Data'!AG:AG),"")</f>
        <v/>
      </c>
      <c r="O156" s="134" t="str">
        <f>IFERROR(1-SUMIF('Plant BD'!$H:$H,$A156,'Plant BD'!$AE:$AE)/($AA156+SUMIF('Plant BD'!$H:$H,$A156,'Plant BD'!$AE:$AE)),"")</f>
        <v/>
      </c>
      <c r="P156" s="134"/>
      <c r="Q156" s="135"/>
      <c r="R156" s="134" t="str">
        <f>IFERROR(1-SUMIF('Grid BD'!$H:$H,$A156,'Grid BD'!$AD:$AD)/($AA156+SUMIF('Grid BD'!$H:$H,$A156,'Grid BD'!$AD:$AD)),"")</f>
        <v/>
      </c>
      <c r="T156" s="135"/>
      <c r="U156" s="136" t="str">
        <f t="shared" si="9"/>
        <v/>
      </c>
      <c r="V156" s="136"/>
      <c r="W156" s="137" t="str">
        <f t="shared" si="10"/>
        <v/>
      </c>
      <c r="X156" s="130" t="str">
        <f>IFERROR(_xlfn.XLOOKUP($A156,'Raw Data'!$G:$G,'Raw Data'!AI:AI),"")</f>
        <v/>
      </c>
      <c r="Y156" s="130" t="str">
        <f>IFERROR(_xlfn.XLOOKUP($A156,'Raw Data'!$G:$G,'Raw Data'!AJ:AJ),"")</f>
        <v/>
      </c>
      <c r="Z156" s="130" t="str">
        <f>IFERROR(_xlfn.XLOOKUP($A156,'Raw Data'!$G:$G,'Raw Data'!AK:AK),"")</f>
        <v/>
      </c>
      <c r="AA156" s="130" t="str">
        <f>IFERROR(_xlfn.XLOOKUP($A156,'Raw Data'!$G:$G,'Raw Data'!AL:AL),"")</f>
        <v/>
      </c>
      <c r="AB156" s="130" t="str">
        <f>IFERROR(_xlfn.XLOOKUP($A156,'Raw Data'!$G:$G,'Raw Data'!H:H),"")</f>
        <v/>
      </c>
      <c r="AC156" s="76">
        <f>IFERROR(_xlfn.XLOOKUP($D156,'Modelling New'!$D:$D,'Modelling New'!P:P),"")</f>
        <v>4.2161290322580642</v>
      </c>
      <c r="AD156" s="130">
        <f>IFERROR(_xlfn.XLOOKUP($D156,'Modelling New'!$D:$D,'Modelling New'!$T:$T)*1000,"")</f>
        <v>24273.156786520856</v>
      </c>
      <c r="AE156" s="138">
        <f>IFERROR(_xlfn.XLOOKUP($D156,'Modelling New'!$D:$D,'Modelling New'!O:O),"")</f>
        <v>0.71777654975663252</v>
      </c>
      <c r="AF156" s="137">
        <f>IFERROR(_xlfn.XLOOKUP($D156,'Modelling New'!$D:$D,'Modelling New'!W:W),"")</f>
        <v>0.12609327292095679</v>
      </c>
      <c r="AG156" s="137">
        <f>IFERROR(_xlfn.XLOOKUP($D156,'Modelling New'!$D:$D,'Modelling New'!AE:AE),"")</f>
        <v>0.98040000000000005</v>
      </c>
      <c r="AH156" s="156">
        <f>IFERROR(_xlfn.XLOOKUP($D156,'Modelling New'!$D:$D,'Modelling New'!AF:AF),"")</f>
        <v>0.98</v>
      </c>
      <c r="AN156" s="134"/>
      <c r="AO156" s="137"/>
      <c r="AP156" s="137"/>
      <c r="AQ156" s="137"/>
      <c r="AR156" s="130">
        <f>'Basic Data'!$B$98/1000</f>
        <v>8.0208999999999993</v>
      </c>
    </row>
    <row r="157" spans="1:44" x14ac:dyDescent="0.3">
      <c r="A157" s="129">
        <f t="shared" si="11"/>
        <v>45900</v>
      </c>
      <c r="B157" s="130">
        <f>YEAR(Table13[[#This Row],[Date]])+IF(MONTH(Table13[[#This Row],[Date]])&gt;=4,1,0)</f>
        <v>2026</v>
      </c>
      <c r="C157" s="7">
        <f>YEAR(Table13[[#This Row],[Date]])</f>
        <v>2025</v>
      </c>
      <c r="D157" s="131">
        <f>Table13[[#This Row],[Date]]-DAY(Table13[[#This Row],[Date]])+1</f>
        <v>45870</v>
      </c>
      <c r="E157" s="7">
        <f t="shared" si="8"/>
        <v>31</v>
      </c>
      <c r="F157" s="132" t="str">
        <f>IFERROR(_xlfn.XLOOKUP($A157,'Raw Data'!$G:$G,'Raw Data'!$AM:$AM),"")</f>
        <v/>
      </c>
      <c r="G157" s="133" t="str">
        <f>IFERROR(_xlfn.XLOOKUP($A157,'Raw Data'!$G:$G,'Raw Data'!$AB:$AB),"")</f>
        <v/>
      </c>
      <c r="H157" s="133"/>
      <c r="I157" s="133" t="str">
        <f>IFERROR(_xlfn.XLOOKUP($A157,'Raw Data'!$G:$G,'Raw Data'!$AC:$AC),"")</f>
        <v/>
      </c>
      <c r="J157" s="133"/>
      <c r="K157" s="133" t="str">
        <f>IFERROR(_xlfn.XLOOKUP($A157,'Raw Data'!$G:$G,'Raw Data'!AD:AD),"")</f>
        <v/>
      </c>
      <c r="L157" s="133" t="str">
        <f>IFERROR(_xlfn.XLOOKUP($A157,'Raw Data'!$G:$G,'Raw Data'!AE:AE),"")</f>
        <v/>
      </c>
      <c r="M157" s="133" t="str">
        <f>IFERROR(_xlfn.XLOOKUP($A157,'Raw Data'!$G:$G,'Raw Data'!AF:AF),"")</f>
        <v/>
      </c>
      <c r="N157" s="133" t="str">
        <f>IFERROR(_xlfn.XLOOKUP($A157,'Raw Data'!$G:$G,'Raw Data'!AG:AG),"")</f>
        <v/>
      </c>
      <c r="O157" s="134" t="str">
        <f>IFERROR(1-SUMIF('Plant BD'!$H:$H,$A157,'Plant BD'!$AE:$AE)/($AA157+SUMIF('Plant BD'!$H:$H,$A157,'Plant BD'!$AE:$AE)),"")</f>
        <v/>
      </c>
      <c r="P157" s="134"/>
      <c r="Q157" s="135"/>
      <c r="R157" s="134" t="str">
        <f>IFERROR(1-SUMIF('Grid BD'!$H:$H,$A157,'Grid BD'!$AD:$AD)/($AA157+SUMIF('Grid BD'!$H:$H,$A157,'Grid BD'!$AD:$AD)),"")</f>
        <v/>
      </c>
      <c r="T157" s="135"/>
      <c r="U157" s="136" t="str">
        <f t="shared" si="9"/>
        <v/>
      </c>
      <c r="V157" s="136"/>
      <c r="W157" s="137" t="str">
        <f t="shared" si="10"/>
        <v/>
      </c>
      <c r="X157" s="130" t="str">
        <f>IFERROR(_xlfn.XLOOKUP($A157,'Raw Data'!$G:$G,'Raw Data'!AI:AI),"")</f>
        <v/>
      </c>
      <c r="Y157" s="130" t="str">
        <f>IFERROR(_xlfn.XLOOKUP($A157,'Raw Data'!$G:$G,'Raw Data'!AJ:AJ),"")</f>
        <v/>
      </c>
      <c r="Z157" s="130" t="str">
        <f>IFERROR(_xlfn.XLOOKUP($A157,'Raw Data'!$G:$G,'Raw Data'!AK:AK),"")</f>
        <v/>
      </c>
      <c r="AA157" s="130" t="str">
        <f>IFERROR(_xlfn.XLOOKUP($A157,'Raw Data'!$G:$G,'Raw Data'!AL:AL),"")</f>
        <v/>
      </c>
      <c r="AB157" s="130" t="str">
        <f>IFERROR(_xlfn.XLOOKUP($A157,'Raw Data'!$G:$G,'Raw Data'!H:H),"")</f>
        <v/>
      </c>
      <c r="AC157" s="76">
        <f>IFERROR(_xlfn.XLOOKUP($D157,'Modelling New'!$D:$D,'Modelling New'!P:P),"")</f>
        <v>4.2161290322580642</v>
      </c>
      <c r="AD157" s="130">
        <f>IFERROR(_xlfn.XLOOKUP($D157,'Modelling New'!$D:$D,'Modelling New'!$T:$T)*1000,"")</f>
        <v>24273.156786520856</v>
      </c>
      <c r="AE157" s="138">
        <f>IFERROR(_xlfn.XLOOKUP($D157,'Modelling New'!$D:$D,'Modelling New'!O:O),"")</f>
        <v>0.71777654975663252</v>
      </c>
      <c r="AF157" s="137">
        <f>IFERROR(_xlfn.XLOOKUP($D157,'Modelling New'!$D:$D,'Modelling New'!W:W),"")</f>
        <v>0.12609327292095679</v>
      </c>
      <c r="AG157" s="137">
        <f>IFERROR(_xlfn.XLOOKUP($D157,'Modelling New'!$D:$D,'Modelling New'!AE:AE),"")</f>
        <v>0.98040000000000005</v>
      </c>
      <c r="AH157" s="156">
        <f>IFERROR(_xlfn.XLOOKUP($D157,'Modelling New'!$D:$D,'Modelling New'!AF:AF),"")</f>
        <v>0.98</v>
      </c>
      <c r="AN157" s="134"/>
      <c r="AO157" s="137"/>
      <c r="AP157" s="137"/>
      <c r="AQ157" s="137"/>
      <c r="AR157" s="130">
        <f>'Basic Data'!$B$98/1000</f>
        <v>8.0208999999999993</v>
      </c>
    </row>
    <row r="158" spans="1:44" x14ac:dyDescent="0.3">
      <c r="A158" s="129">
        <f t="shared" si="11"/>
        <v>45901</v>
      </c>
      <c r="B158" s="130">
        <f>YEAR(Table13[[#This Row],[Date]])+IF(MONTH(Table13[[#This Row],[Date]])&gt;=4,1,0)</f>
        <v>2026</v>
      </c>
      <c r="C158" s="7">
        <f>YEAR(Table13[[#This Row],[Date]])</f>
        <v>2025</v>
      </c>
      <c r="D158" s="131">
        <f>Table13[[#This Row],[Date]]-DAY(Table13[[#This Row],[Date]])+1</f>
        <v>45901</v>
      </c>
      <c r="E158" s="7">
        <f t="shared" si="8"/>
        <v>30</v>
      </c>
      <c r="F158" s="132" t="str">
        <f>IFERROR(_xlfn.XLOOKUP($A158,'Raw Data'!$G:$G,'Raw Data'!$AM:$AM),"")</f>
        <v/>
      </c>
      <c r="G158" s="133" t="str">
        <f>IFERROR(_xlfn.XLOOKUP($A158,'Raw Data'!$G:$G,'Raw Data'!$AB:$AB),"")</f>
        <v/>
      </c>
      <c r="H158" s="133"/>
      <c r="I158" s="133" t="str">
        <f>IFERROR(_xlfn.XLOOKUP($A158,'Raw Data'!$G:$G,'Raw Data'!$AC:$AC),"")</f>
        <v/>
      </c>
      <c r="J158" s="133"/>
      <c r="K158" s="133" t="str">
        <f>IFERROR(_xlfn.XLOOKUP($A158,'Raw Data'!$G:$G,'Raw Data'!AD:AD),"")</f>
        <v/>
      </c>
      <c r="L158" s="133" t="str">
        <f>IFERROR(_xlfn.XLOOKUP($A158,'Raw Data'!$G:$G,'Raw Data'!AE:AE),"")</f>
        <v/>
      </c>
      <c r="M158" s="133" t="str">
        <f>IFERROR(_xlfn.XLOOKUP($A158,'Raw Data'!$G:$G,'Raw Data'!AF:AF),"")</f>
        <v/>
      </c>
      <c r="N158" s="133" t="str">
        <f>IFERROR(_xlfn.XLOOKUP($A158,'Raw Data'!$G:$G,'Raw Data'!AG:AG),"")</f>
        <v/>
      </c>
      <c r="O158" s="134" t="str">
        <f>IFERROR(1-SUMIF('Plant BD'!$H:$H,$A158,'Plant BD'!$AE:$AE)/($AA158+SUMIF('Plant BD'!$H:$H,$A158,'Plant BD'!$AE:$AE)),"")</f>
        <v/>
      </c>
      <c r="P158" s="134"/>
      <c r="Q158" s="135"/>
      <c r="R158" s="134" t="str">
        <f>IFERROR(1-SUMIF('Grid BD'!$H:$H,$A158,'Grid BD'!$AD:$AD)/($AA158+SUMIF('Grid BD'!$H:$H,$A158,'Grid BD'!$AD:$AD)),"")</f>
        <v/>
      </c>
      <c r="T158" s="135"/>
      <c r="U158" s="136" t="str">
        <f t="shared" si="9"/>
        <v/>
      </c>
      <c r="V158" s="136"/>
      <c r="W158" s="137" t="str">
        <f t="shared" si="10"/>
        <v/>
      </c>
      <c r="X158" s="130" t="str">
        <f>IFERROR(_xlfn.XLOOKUP($A158,'Raw Data'!$G:$G,'Raw Data'!AI:AI),"")</f>
        <v/>
      </c>
      <c r="Y158" s="130" t="str">
        <f>IFERROR(_xlfn.XLOOKUP($A158,'Raw Data'!$G:$G,'Raw Data'!AJ:AJ),"")</f>
        <v/>
      </c>
      <c r="Z158" s="130" t="str">
        <f>IFERROR(_xlfn.XLOOKUP($A158,'Raw Data'!$G:$G,'Raw Data'!AK:AK),"")</f>
        <v/>
      </c>
      <c r="AA158" s="130" t="str">
        <f>IFERROR(_xlfn.XLOOKUP($A158,'Raw Data'!$G:$G,'Raw Data'!AL:AL),"")</f>
        <v/>
      </c>
      <c r="AB158" s="130" t="str">
        <f>IFERROR(_xlfn.XLOOKUP($A158,'Raw Data'!$G:$G,'Raw Data'!H:H),"")</f>
        <v/>
      </c>
      <c r="AC158" s="76">
        <f>IFERROR(_xlfn.XLOOKUP($D158,'Modelling New'!$D:$D,'Modelling New'!P:P),"")</f>
        <v>4.8466666666666667</v>
      </c>
      <c r="AD158" s="130">
        <f>IFERROR(_xlfn.XLOOKUP($D158,'Modelling New'!$D:$D,'Modelling New'!$T:$T)*1000,"")</f>
        <v>27099.030800071054</v>
      </c>
      <c r="AE158" s="138">
        <f>IFERROR(_xlfn.XLOOKUP($D158,'Modelling New'!$D:$D,'Modelling New'!O:O),"")</f>
        <v>0.69708783670793795</v>
      </c>
      <c r="AF158" s="137">
        <f>IFERROR(_xlfn.XLOOKUP($D158,'Modelling New'!$D:$D,'Modelling New'!W:W),"")</f>
        <v>0.14077301591296412</v>
      </c>
      <c r="AG158" s="137">
        <f>IFERROR(_xlfn.XLOOKUP($D158,'Modelling New'!$D:$D,'Modelling New'!AE:AE),"")</f>
        <v>0.98040000000000005</v>
      </c>
      <c r="AH158" s="156">
        <f>IFERROR(_xlfn.XLOOKUP($D158,'Modelling New'!$D:$D,'Modelling New'!AF:AF),"")</f>
        <v>0.98</v>
      </c>
      <c r="AN158" s="134"/>
      <c r="AO158" s="137"/>
      <c r="AP158" s="137"/>
      <c r="AQ158" s="137"/>
      <c r="AR158" s="130">
        <f>'Basic Data'!$B$98/1000</f>
        <v>8.0208999999999993</v>
      </c>
    </row>
    <row r="159" spans="1:44" x14ac:dyDescent="0.3">
      <c r="A159" s="129">
        <f t="shared" si="11"/>
        <v>45902</v>
      </c>
      <c r="B159" s="130">
        <f>YEAR(Table13[[#This Row],[Date]])+IF(MONTH(Table13[[#This Row],[Date]])&gt;=4,1,0)</f>
        <v>2026</v>
      </c>
      <c r="C159" s="7">
        <f>YEAR(Table13[[#This Row],[Date]])</f>
        <v>2025</v>
      </c>
      <c r="D159" s="131">
        <f>Table13[[#This Row],[Date]]-DAY(Table13[[#This Row],[Date]])+1</f>
        <v>45901</v>
      </c>
      <c r="E159" s="7">
        <f t="shared" si="8"/>
        <v>30</v>
      </c>
      <c r="F159" s="132" t="str">
        <f>IFERROR(_xlfn.XLOOKUP($A159,'Raw Data'!$G:$G,'Raw Data'!$AM:$AM),"")</f>
        <v/>
      </c>
      <c r="G159" s="133" t="str">
        <f>IFERROR(_xlfn.XLOOKUP($A159,'Raw Data'!$G:$G,'Raw Data'!$AB:$AB),"")</f>
        <v/>
      </c>
      <c r="H159" s="133"/>
      <c r="I159" s="133" t="str">
        <f>IFERROR(_xlfn.XLOOKUP($A159,'Raw Data'!$G:$G,'Raw Data'!$AC:$AC),"")</f>
        <v/>
      </c>
      <c r="J159" s="133"/>
      <c r="K159" s="133" t="str">
        <f>IFERROR(_xlfn.XLOOKUP($A159,'Raw Data'!$G:$G,'Raw Data'!AD:AD),"")</f>
        <v/>
      </c>
      <c r="L159" s="133" t="str">
        <f>IFERROR(_xlfn.XLOOKUP($A159,'Raw Data'!$G:$G,'Raw Data'!AE:AE),"")</f>
        <v/>
      </c>
      <c r="M159" s="133" t="str">
        <f>IFERROR(_xlfn.XLOOKUP($A159,'Raw Data'!$G:$G,'Raw Data'!AF:AF),"")</f>
        <v/>
      </c>
      <c r="N159" s="133" t="str">
        <f>IFERROR(_xlfn.XLOOKUP($A159,'Raw Data'!$G:$G,'Raw Data'!AG:AG),"")</f>
        <v/>
      </c>
      <c r="O159" s="134" t="str">
        <f>IFERROR(1-SUMIF('Plant BD'!$H:$H,$A159,'Plant BD'!$AE:$AE)/($AA159+SUMIF('Plant BD'!$H:$H,$A159,'Plant BD'!$AE:$AE)),"")</f>
        <v/>
      </c>
      <c r="P159" s="134"/>
      <c r="Q159" s="135"/>
      <c r="R159" s="134" t="str">
        <f>IFERROR(1-SUMIF('Grid BD'!$H:$H,$A159,'Grid BD'!$AD:$AD)/($AA159+SUMIF('Grid BD'!$H:$H,$A159,'Grid BD'!$AD:$AD)),"")</f>
        <v/>
      </c>
      <c r="T159" s="135"/>
      <c r="U159" s="136" t="str">
        <f t="shared" si="9"/>
        <v/>
      </c>
      <c r="V159" s="136"/>
      <c r="W159" s="137" t="str">
        <f t="shared" si="10"/>
        <v/>
      </c>
      <c r="X159" s="130" t="str">
        <f>IFERROR(_xlfn.XLOOKUP($A159,'Raw Data'!$G:$G,'Raw Data'!AI:AI),"")</f>
        <v/>
      </c>
      <c r="Y159" s="130" t="str">
        <f>IFERROR(_xlfn.XLOOKUP($A159,'Raw Data'!$G:$G,'Raw Data'!AJ:AJ),"")</f>
        <v/>
      </c>
      <c r="Z159" s="130" t="str">
        <f>IFERROR(_xlfn.XLOOKUP($A159,'Raw Data'!$G:$G,'Raw Data'!AK:AK),"")</f>
        <v/>
      </c>
      <c r="AA159" s="130" t="str">
        <f>IFERROR(_xlfn.XLOOKUP($A159,'Raw Data'!$G:$G,'Raw Data'!AL:AL),"")</f>
        <v/>
      </c>
      <c r="AB159" s="130" t="str">
        <f>IFERROR(_xlfn.XLOOKUP($A159,'Raw Data'!$G:$G,'Raw Data'!H:H),"")</f>
        <v/>
      </c>
      <c r="AC159" s="76">
        <f>IFERROR(_xlfn.XLOOKUP($D159,'Modelling New'!$D:$D,'Modelling New'!P:P),"")</f>
        <v>4.8466666666666667</v>
      </c>
      <c r="AD159" s="130">
        <f>IFERROR(_xlfn.XLOOKUP($D159,'Modelling New'!$D:$D,'Modelling New'!$T:$T)*1000,"")</f>
        <v>27099.030800071054</v>
      </c>
      <c r="AE159" s="138">
        <f>IFERROR(_xlfn.XLOOKUP($D159,'Modelling New'!$D:$D,'Modelling New'!O:O),"")</f>
        <v>0.69708783670793795</v>
      </c>
      <c r="AF159" s="137">
        <f>IFERROR(_xlfn.XLOOKUP($D159,'Modelling New'!$D:$D,'Modelling New'!W:W),"")</f>
        <v>0.14077301591296412</v>
      </c>
      <c r="AG159" s="137">
        <f>IFERROR(_xlfn.XLOOKUP($D159,'Modelling New'!$D:$D,'Modelling New'!AE:AE),"")</f>
        <v>0.98040000000000005</v>
      </c>
      <c r="AH159" s="156">
        <f>IFERROR(_xlfn.XLOOKUP($D159,'Modelling New'!$D:$D,'Modelling New'!AF:AF),"")</f>
        <v>0.98</v>
      </c>
      <c r="AN159" s="134"/>
      <c r="AO159" s="137"/>
      <c r="AP159" s="137"/>
      <c r="AQ159" s="137"/>
      <c r="AR159" s="130">
        <f>'Basic Data'!$B$98/1000</f>
        <v>8.0208999999999993</v>
      </c>
    </row>
    <row r="160" spans="1:44" x14ac:dyDescent="0.3">
      <c r="A160" s="129">
        <f t="shared" si="11"/>
        <v>45903</v>
      </c>
      <c r="B160" s="130">
        <f>YEAR(Table13[[#This Row],[Date]])+IF(MONTH(Table13[[#This Row],[Date]])&gt;=4,1,0)</f>
        <v>2026</v>
      </c>
      <c r="C160" s="7">
        <f>YEAR(Table13[[#This Row],[Date]])</f>
        <v>2025</v>
      </c>
      <c r="D160" s="131">
        <f>Table13[[#This Row],[Date]]-DAY(Table13[[#This Row],[Date]])+1</f>
        <v>45901</v>
      </c>
      <c r="E160" s="7">
        <f t="shared" si="8"/>
        <v>30</v>
      </c>
      <c r="F160" s="132" t="str">
        <f>IFERROR(_xlfn.XLOOKUP($A160,'Raw Data'!$G:$G,'Raw Data'!$AM:$AM),"")</f>
        <v/>
      </c>
      <c r="G160" s="133" t="str">
        <f>IFERROR(_xlfn.XLOOKUP($A160,'Raw Data'!$G:$G,'Raw Data'!$AB:$AB),"")</f>
        <v/>
      </c>
      <c r="H160" s="133"/>
      <c r="I160" s="133" t="str">
        <f>IFERROR(_xlfn.XLOOKUP($A160,'Raw Data'!$G:$G,'Raw Data'!$AC:$AC),"")</f>
        <v/>
      </c>
      <c r="J160" s="133"/>
      <c r="K160" s="133" t="str">
        <f>IFERROR(_xlfn.XLOOKUP($A160,'Raw Data'!$G:$G,'Raw Data'!AD:AD),"")</f>
        <v/>
      </c>
      <c r="L160" s="133" t="str">
        <f>IFERROR(_xlfn.XLOOKUP($A160,'Raw Data'!$G:$G,'Raw Data'!AE:AE),"")</f>
        <v/>
      </c>
      <c r="M160" s="133" t="str">
        <f>IFERROR(_xlfn.XLOOKUP($A160,'Raw Data'!$G:$G,'Raw Data'!AF:AF),"")</f>
        <v/>
      </c>
      <c r="N160" s="133" t="str">
        <f>IFERROR(_xlfn.XLOOKUP($A160,'Raw Data'!$G:$G,'Raw Data'!AG:AG),"")</f>
        <v/>
      </c>
      <c r="O160" s="134" t="str">
        <f>IFERROR(1-SUMIF('Plant BD'!$H:$H,$A160,'Plant BD'!$AE:$AE)/($AA160+SUMIF('Plant BD'!$H:$H,$A160,'Plant BD'!$AE:$AE)),"")</f>
        <v/>
      </c>
      <c r="P160" s="134"/>
      <c r="Q160" s="135"/>
      <c r="R160" s="134" t="str">
        <f>IFERROR(1-SUMIF('Grid BD'!$H:$H,$A160,'Grid BD'!$AD:$AD)/($AA160+SUMIF('Grid BD'!$H:$H,$A160,'Grid BD'!$AD:$AD)),"")</f>
        <v/>
      </c>
      <c r="T160" s="135"/>
      <c r="U160" s="136" t="str">
        <f t="shared" si="9"/>
        <v/>
      </c>
      <c r="V160" s="136"/>
      <c r="W160" s="137" t="str">
        <f t="shared" si="10"/>
        <v/>
      </c>
      <c r="X160" s="130" t="str">
        <f>IFERROR(_xlfn.XLOOKUP($A160,'Raw Data'!$G:$G,'Raw Data'!AI:AI),"")</f>
        <v/>
      </c>
      <c r="Y160" s="130" t="str">
        <f>IFERROR(_xlfn.XLOOKUP($A160,'Raw Data'!$G:$G,'Raw Data'!AJ:AJ),"")</f>
        <v/>
      </c>
      <c r="Z160" s="130" t="str">
        <f>IFERROR(_xlfn.XLOOKUP($A160,'Raw Data'!$G:$G,'Raw Data'!AK:AK),"")</f>
        <v/>
      </c>
      <c r="AA160" s="130" t="str">
        <f>IFERROR(_xlfn.XLOOKUP($A160,'Raw Data'!$G:$G,'Raw Data'!AL:AL),"")</f>
        <v/>
      </c>
      <c r="AB160" s="130" t="str">
        <f>IFERROR(_xlfn.XLOOKUP($A160,'Raw Data'!$G:$G,'Raw Data'!H:H),"")</f>
        <v/>
      </c>
      <c r="AC160" s="76">
        <f>IFERROR(_xlfn.XLOOKUP($D160,'Modelling New'!$D:$D,'Modelling New'!P:P),"")</f>
        <v>4.8466666666666667</v>
      </c>
      <c r="AD160" s="130">
        <f>IFERROR(_xlfn.XLOOKUP($D160,'Modelling New'!$D:$D,'Modelling New'!$T:$T)*1000,"")</f>
        <v>27099.030800071054</v>
      </c>
      <c r="AE160" s="138">
        <f>IFERROR(_xlfn.XLOOKUP($D160,'Modelling New'!$D:$D,'Modelling New'!O:O),"")</f>
        <v>0.69708783670793795</v>
      </c>
      <c r="AF160" s="137">
        <f>IFERROR(_xlfn.XLOOKUP($D160,'Modelling New'!$D:$D,'Modelling New'!W:W),"")</f>
        <v>0.14077301591296412</v>
      </c>
      <c r="AG160" s="137">
        <f>IFERROR(_xlfn.XLOOKUP($D160,'Modelling New'!$D:$D,'Modelling New'!AE:AE),"")</f>
        <v>0.98040000000000005</v>
      </c>
      <c r="AH160" s="156">
        <f>IFERROR(_xlfn.XLOOKUP($D160,'Modelling New'!$D:$D,'Modelling New'!AF:AF),"")</f>
        <v>0.98</v>
      </c>
      <c r="AN160" s="134"/>
      <c r="AO160" s="137"/>
      <c r="AP160" s="137"/>
      <c r="AQ160" s="137"/>
      <c r="AR160" s="130">
        <f>'Basic Data'!$B$98/1000</f>
        <v>8.0208999999999993</v>
      </c>
    </row>
    <row r="161" spans="1:44" x14ac:dyDescent="0.3">
      <c r="A161" s="129">
        <f t="shared" si="11"/>
        <v>45904</v>
      </c>
      <c r="B161" s="130">
        <f>YEAR(Table13[[#This Row],[Date]])+IF(MONTH(Table13[[#This Row],[Date]])&gt;=4,1,0)</f>
        <v>2026</v>
      </c>
      <c r="C161" s="7">
        <f>YEAR(Table13[[#This Row],[Date]])</f>
        <v>2025</v>
      </c>
      <c r="D161" s="131">
        <f>Table13[[#This Row],[Date]]-DAY(Table13[[#This Row],[Date]])+1</f>
        <v>45901</v>
      </c>
      <c r="E161" s="7">
        <f t="shared" si="8"/>
        <v>30</v>
      </c>
      <c r="F161" s="132" t="str">
        <f>IFERROR(_xlfn.XLOOKUP($A161,'Raw Data'!$G:$G,'Raw Data'!$AM:$AM),"")</f>
        <v/>
      </c>
      <c r="G161" s="133" t="str">
        <f>IFERROR(_xlfn.XLOOKUP($A161,'Raw Data'!$G:$G,'Raw Data'!$AB:$AB),"")</f>
        <v/>
      </c>
      <c r="H161" s="133"/>
      <c r="I161" s="133" t="str">
        <f>IFERROR(_xlfn.XLOOKUP($A161,'Raw Data'!$G:$G,'Raw Data'!$AC:$AC),"")</f>
        <v/>
      </c>
      <c r="J161" s="133"/>
      <c r="K161" s="133" t="str">
        <f>IFERROR(_xlfn.XLOOKUP($A161,'Raw Data'!$G:$G,'Raw Data'!AD:AD),"")</f>
        <v/>
      </c>
      <c r="L161" s="133" t="str">
        <f>IFERROR(_xlfn.XLOOKUP($A161,'Raw Data'!$G:$G,'Raw Data'!AE:AE),"")</f>
        <v/>
      </c>
      <c r="M161" s="133" t="str">
        <f>IFERROR(_xlfn.XLOOKUP($A161,'Raw Data'!$G:$G,'Raw Data'!AF:AF),"")</f>
        <v/>
      </c>
      <c r="N161" s="133" t="str">
        <f>IFERROR(_xlfn.XLOOKUP($A161,'Raw Data'!$G:$G,'Raw Data'!AG:AG),"")</f>
        <v/>
      </c>
      <c r="O161" s="134" t="str">
        <f>IFERROR(1-SUMIF('Plant BD'!$H:$H,$A161,'Plant BD'!$AE:$AE)/($AA161+SUMIF('Plant BD'!$H:$H,$A161,'Plant BD'!$AE:$AE)),"")</f>
        <v/>
      </c>
      <c r="P161" s="134"/>
      <c r="Q161" s="135"/>
      <c r="R161" s="134" t="str">
        <f>IFERROR(1-SUMIF('Grid BD'!$H:$H,$A161,'Grid BD'!$AD:$AD)/($AA161+SUMIF('Grid BD'!$H:$H,$A161,'Grid BD'!$AD:$AD)),"")</f>
        <v/>
      </c>
      <c r="T161" s="135"/>
      <c r="U161" s="136" t="str">
        <f t="shared" si="9"/>
        <v/>
      </c>
      <c r="V161" s="136"/>
      <c r="W161" s="137" t="str">
        <f t="shared" si="10"/>
        <v/>
      </c>
      <c r="X161" s="130" t="str">
        <f>IFERROR(_xlfn.XLOOKUP($A161,'Raw Data'!$G:$G,'Raw Data'!AI:AI),"")</f>
        <v/>
      </c>
      <c r="Y161" s="130" t="str">
        <f>IFERROR(_xlfn.XLOOKUP($A161,'Raw Data'!$G:$G,'Raw Data'!AJ:AJ),"")</f>
        <v/>
      </c>
      <c r="Z161" s="130" t="str">
        <f>IFERROR(_xlfn.XLOOKUP($A161,'Raw Data'!$G:$G,'Raw Data'!AK:AK),"")</f>
        <v/>
      </c>
      <c r="AA161" s="130" t="str">
        <f>IFERROR(_xlfn.XLOOKUP($A161,'Raw Data'!$G:$G,'Raw Data'!AL:AL),"")</f>
        <v/>
      </c>
      <c r="AB161" s="130" t="str">
        <f>IFERROR(_xlfn.XLOOKUP($A161,'Raw Data'!$G:$G,'Raw Data'!H:H),"")</f>
        <v/>
      </c>
      <c r="AC161" s="76">
        <f>IFERROR(_xlfn.XLOOKUP($D161,'Modelling New'!$D:$D,'Modelling New'!P:P),"")</f>
        <v>4.8466666666666667</v>
      </c>
      <c r="AD161" s="130">
        <f>IFERROR(_xlfn.XLOOKUP($D161,'Modelling New'!$D:$D,'Modelling New'!$T:$T)*1000,"")</f>
        <v>27099.030800071054</v>
      </c>
      <c r="AE161" s="138">
        <f>IFERROR(_xlfn.XLOOKUP($D161,'Modelling New'!$D:$D,'Modelling New'!O:O),"")</f>
        <v>0.69708783670793795</v>
      </c>
      <c r="AF161" s="137">
        <f>IFERROR(_xlfn.XLOOKUP($D161,'Modelling New'!$D:$D,'Modelling New'!W:W),"")</f>
        <v>0.14077301591296412</v>
      </c>
      <c r="AG161" s="137">
        <f>IFERROR(_xlfn.XLOOKUP($D161,'Modelling New'!$D:$D,'Modelling New'!AE:AE),"")</f>
        <v>0.98040000000000005</v>
      </c>
      <c r="AH161" s="156">
        <f>IFERROR(_xlfn.XLOOKUP($D161,'Modelling New'!$D:$D,'Modelling New'!AF:AF),"")</f>
        <v>0.98</v>
      </c>
      <c r="AN161" s="134"/>
      <c r="AO161" s="137"/>
      <c r="AP161" s="137"/>
      <c r="AQ161" s="137"/>
      <c r="AR161" s="130">
        <f>'Basic Data'!$B$98/1000</f>
        <v>8.0208999999999993</v>
      </c>
    </row>
    <row r="162" spans="1:44" x14ac:dyDescent="0.3">
      <c r="A162" s="129">
        <f t="shared" si="11"/>
        <v>45905</v>
      </c>
      <c r="B162" s="130">
        <f>YEAR(Table13[[#This Row],[Date]])+IF(MONTH(Table13[[#This Row],[Date]])&gt;=4,1,0)</f>
        <v>2026</v>
      </c>
      <c r="C162" s="7">
        <f>YEAR(Table13[[#This Row],[Date]])</f>
        <v>2025</v>
      </c>
      <c r="D162" s="131">
        <f>Table13[[#This Row],[Date]]-DAY(Table13[[#This Row],[Date]])+1</f>
        <v>45901</v>
      </c>
      <c r="E162" s="7">
        <f t="shared" si="8"/>
        <v>30</v>
      </c>
      <c r="F162" s="132" t="str">
        <f>IFERROR(_xlfn.XLOOKUP($A162,'Raw Data'!$G:$G,'Raw Data'!$AM:$AM),"")</f>
        <v/>
      </c>
      <c r="G162" s="133" t="str">
        <f>IFERROR(_xlfn.XLOOKUP($A162,'Raw Data'!$G:$G,'Raw Data'!$AB:$AB),"")</f>
        <v/>
      </c>
      <c r="H162" s="133"/>
      <c r="I162" s="133" t="str">
        <f>IFERROR(_xlfn.XLOOKUP($A162,'Raw Data'!$G:$G,'Raw Data'!$AC:$AC),"")</f>
        <v/>
      </c>
      <c r="J162" s="133"/>
      <c r="K162" s="133" t="str">
        <f>IFERROR(_xlfn.XLOOKUP($A162,'Raw Data'!$G:$G,'Raw Data'!AD:AD),"")</f>
        <v/>
      </c>
      <c r="L162" s="133" t="str">
        <f>IFERROR(_xlfn.XLOOKUP($A162,'Raw Data'!$G:$G,'Raw Data'!AE:AE),"")</f>
        <v/>
      </c>
      <c r="M162" s="133" t="str">
        <f>IFERROR(_xlfn.XLOOKUP($A162,'Raw Data'!$G:$G,'Raw Data'!AF:AF),"")</f>
        <v/>
      </c>
      <c r="N162" s="133" t="str">
        <f>IFERROR(_xlfn.XLOOKUP($A162,'Raw Data'!$G:$G,'Raw Data'!AG:AG),"")</f>
        <v/>
      </c>
      <c r="O162" s="134" t="str">
        <f>IFERROR(1-SUMIF('Plant BD'!$H:$H,$A162,'Plant BD'!$AE:$AE)/($AA162+SUMIF('Plant BD'!$H:$H,$A162,'Plant BD'!$AE:$AE)),"")</f>
        <v/>
      </c>
      <c r="P162" s="134"/>
      <c r="Q162" s="135"/>
      <c r="R162" s="134" t="str">
        <f>IFERROR(1-SUMIF('Grid BD'!$H:$H,$A162,'Grid BD'!$AD:$AD)/($AA162+SUMIF('Grid BD'!$H:$H,$A162,'Grid BD'!$AD:$AD)),"")</f>
        <v/>
      </c>
      <c r="T162" s="135"/>
      <c r="U162" s="136" t="str">
        <f t="shared" si="9"/>
        <v/>
      </c>
      <c r="V162" s="136"/>
      <c r="W162" s="137" t="str">
        <f t="shared" si="10"/>
        <v/>
      </c>
      <c r="X162" s="130" t="str">
        <f>IFERROR(_xlfn.XLOOKUP($A162,'Raw Data'!$G:$G,'Raw Data'!AI:AI),"")</f>
        <v/>
      </c>
      <c r="Y162" s="130" t="str">
        <f>IFERROR(_xlfn.XLOOKUP($A162,'Raw Data'!$G:$G,'Raw Data'!AJ:AJ),"")</f>
        <v/>
      </c>
      <c r="Z162" s="130" t="str">
        <f>IFERROR(_xlfn.XLOOKUP($A162,'Raw Data'!$G:$G,'Raw Data'!AK:AK),"")</f>
        <v/>
      </c>
      <c r="AA162" s="130" t="str">
        <f>IFERROR(_xlfn.XLOOKUP($A162,'Raw Data'!$G:$G,'Raw Data'!AL:AL),"")</f>
        <v/>
      </c>
      <c r="AB162" s="130" t="str">
        <f>IFERROR(_xlfn.XLOOKUP($A162,'Raw Data'!$G:$G,'Raw Data'!H:H),"")</f>
        <v/>
      </c>
      <c r="AC162" s="76">
        <f>IFERROR(_xlfn.XLOOKUP($D162,'Modelling New'!$D:$D,'Modelling New'!P:P),"")</f>
        <v>4.8466666666666667</v>
      </c>
      <c r="AD162" s="130">
        <f>IFERROR(_xlfn.XLOOKUP($D162,'Modelling New'!$D:$D,'Modelling New'!$T:$T)*1000,"")</f>
        <v>27099.030800071054</v>
      </c>
      <c r="AE162" s="138">
        <f>IFERROR(_xlfn.XLOOKUP($D162,'Modelling New'!$D:$D,'Modelling New'!O:O),"")</f>
        <v>0.69708783670793795</v>
      </c>
      <c r="AF162" s="137">
        <f>IFERROR(_xlfn.XLOOKUP($D162,'Modelling New'!$D:$D,'Modelling New'!W:W),"")</f>
        <v>0.14077301591296412</v>
      </c>
      <c r="AG162" s="137">
        <f>IFERROR(_xlfn.XLOOKUP($D162,'Modelling New'!$D:$D,'Modelling New'!AE:AE),"")</f>
        <v>0.98040000000000005</v>
      </c>
      <c r="AH162" s="156">
        <f>IFERROR(_xlfn.XLOOKUP($D162,'Modelling New'!$D:$D,'Modelling New'!AF:AF),"")</f>
        <v>0.98</v>
      </c>
      <c r="AN162" s="134"/>
      <c r="AO162" s="137"/>
      <c r="AP162" s="137"/>
      <c r="AQ162" s="137"/>
      <c r="AR162" s="130">
        <f>'Basic Data'!$B$98/1000</f>
        <v>8.0208999999999993</v>
      </c>
    </row>
    <row r="163" spans="1:44" x14ac:dyDescent="0.3">
      <c r="A163" s="129">
        <f t="shared" si="11"/>
        <v>45906</v>
      </c>
      <c r="B163" s="130">
        <f>YEAR(Table13[[#This Row],[Date]])+IF(MONTH(Table13[[#This Row],[Date]])&gt;=4,1,0)</f>
        <v>2026</v>
      </c>
      <c r="C163" s="7">
        <f>YEAR(Table13[[#This Row],[Date]])</f>
        <v>2025</v>
      </c>
      <c r="D163" s="131">
        <f>Table13[[#This Row],[Date]]-DAY(Table13[[#This Row],[Date]])+1</f>
        <v>45901</v>
      </c>
      <c r="E163" s="7">
        <f t="shared" si="8"/>
        <v>30</v>
      </c>
      <c r="F163" s="132" t="str">
        <f>IFERROR(_xlfn.XLOOKUP($A163,'Raw Data'!$G:$G,'Raw Data'!$AM:$AM),"")</f>
        <v/>
      </c>
      <c r="G163" s="133" t="str">
        <f>IFERROR(_xlfn.XLOOKUP($A163,'Raw Data'!$G:$G,'Raw Data'!$AB:$AB),"")</f>
        <v/>
      </c>
      <c r="H163" s="133"/>
      <c r="I163" s="133" t="str">
        <f>IFERROR(_xlfn.XLOOKUP($A163,'Raw Data'!$G:$G,'Raw Data'!$AC:$AC),"")</f>
        <v/>
      </c>
      <c r="J163" s="133"/>
      <c r="K163" s="133" t="str">
        <f>IFERROR(_xlfn.XLOOKUP($A163,'Raw Data'!$G:$G,'Raw Data'!AD:AD),"")</f>
        <v/>
      </c>
      <c r="L163" s="133" t="str">
        <f>IFERROR(_xlfn.XLOOKUP($A163,'Raw Data'!$G:$G,'Raw Data'!AE:AE),"")</f>
        <v/>
      </c>
      <c r="M163" s="133" t="str">
        <f>IFERROR(_xlfn.XLOOKUP($A163,'Raw Data'!$G:$G,'Raw Data'!AF:AF),"")</f>
        <v/>
      </c>
      <c r="N163" s="133" t="str">
        <f>IFERROR(_xlfn.XLOOKUP($A163,'Raw Data'!$G:$G,'Raw Data'!AG:AG),"")</f>
        <v/>
      </c>
      <c r="O163" s="134" t="str">
        <f>IFERROR(1-SUMIF('Plant BD'!$H:$H,$A163,'Plant BD'!$AE:$AE)/($AA163+SUMIF('Plant BD'!$H:$H,$A163,'Plant BD'!$AE:$AE)),"")</f>
        <v/>
      </c>
      <c r="P163" s="134"/>
      <c r="Q163" s="135"/>
      <c r="R163" s="134" t="str">
        <f>IFERROR(1-SUMIF('Grid BD'!$H:$H,$A163,'Grid BD'!$AD:$AD)/($AA163+SUMIF('Grid BD'!$H:$H,$A163,'Grid BD'!$AD:$AD)),"")</f>
        <v/>
      </c>
      <c r="T163" s="135"/>
      <c r="U163" s="136" t="str">
        <f t="shared" si="9"/>
        <v/>
      </c>
      <c r="V163" s="136"/>
      <c r="W163" s="137" t="str">
        <f t="shared" si="10"/>
        <v/>
      </c>
      <c r="X163" s="130" t="str">
        <f>IFERROR(_xlfn.XLOOKUP($A163,'Raw Data'!$G:$G,'Raw Data'!AI:AI),"")</f>
        <v/>
      </c>
      <c r="Y163" s="130" t="str">
        <f>IFERROR(_xlfn.XLOOKUP($A163,'Raw Data'!$G:$G,'Raw Data'!AJ:AJ),"")</f>
        <v/>
      </c>
      <c r="Z163" s="130" t="str">
        <f>IFERROR(_xlfn.XLOOKUP($A163,'Raw Data'!$G:$G,'Raw Data'!AK:AK),"")</f>
        <v/>
      </c>
      <c r="AA163" s="130" t="str">
        <f>IFERROR(_xlfn.XLOOKUP($A163,'Raw Data'!$G:$G,'Raw Data'!AL:AL),"")</f>
        <v/>
      </c>
      <c r="AB163" s="130" t="str">
        <f>IFERROR(_xlfn.XLOOKUP($A163,'Raw Data'!$G:$G,'Raw Data'!H:H),"")</f>
        <v/>
      </c>
      <c r="AC163" s="76">
        <f>IFERROR(_xlfn.XLOOKUP($D163,'Modelling New'!$D:$D,'Modelling New'!P:P),"")</f>
        <v>4.8466666666666667</v>
      </c>
      <c r="AD163" s="130">
        <f>IFERROR(_xlfn.XLOOKUP($D163,'Modelling New'!$D:$D,'Modelling New'!$T:$T)*1000,"")</f>
        <v>27099.030800071054</v>
      </c>
      <c r="AE163" s="138">
        <f>IFERROR(_xlfn.XLOOKUP($D163,'Modelling New'!$D:$D,'Modelling New'!O:O),"")</f>
        <v>0.69708783670793795</v>
      </c>
      <c r="AF163" s="137">
        <f>IFERROR(_xlfn.XLOOKUP($D163,'Modelling New'!$D:$D,'Modelling New'!W:W),"")</f>
        <v>0.14077301591296412</v>
      </c>
      <c r="AG163" s="137">
        <f>IFERROR(_xlfn.XLOOKUP($D163,'Modelling New'!$D:$D,'Modelling New'!AE:AE),"")</f>
        <v>0.98040000000000005</v>
      </c>
      <c r="AH163" s="156">
        <f>IFERROR(_xlfn.XLOOKUP($D163,'Modelling New'!$D:$D,'Modelling New'!AF:AF),"")</f>
        <v>0.98</v>
      </c>
      <c r="AN163" s="134"/>
      <c r="AO163" s="137"/>
      <c r="AP163" s="137"/>
      <c r="AQ163" s="137"/>
      <c r="AR163" s="130">
        <f>'Basic Data'!$B$98/1000</f>
        <v>8.0208999999999993</v>
      </c>
    </row>
    <row r="164" spans="1:44" x14ac:dyDescent="0.3">
      <c r="A164" s="129">
        <f t="shared" si="11"/>
        <v>45907</v>
      </c>
      <c r="B164" s="130">
        <f>YEAR(Table13[[#This Row],[Date]])+IF(MONTH(Table13[[#This Row],[Date]])&gt;=4,1,0)</f>
        <v>2026</v>
      </c>
      <c r="C164" s="7">
        <f>YEAR(Table13[[#This Row],[Date]])</f>
        <v>2025</v>
      </c>
      <c r="D164" s="131">
        <f>Table13[[#This Row],[Date]]-DAY(Table13[[#This Row],[Date]])+1</f>
        <v>45901</v>
      </c>
      <c r="E164" s="7">
        <f t="shared" si="8"/>
        <v>30</v>
      </c>
      <c r="F164" s="132" t="str">
        <f>IFERROR(_xlfn.XLOOKUP($A164,'Raw Data'!$G:$G,'Raw Data'!$AM:$AM),"")</f>
        <v/>
      </c>
      <c r="G164" s="133" t="str">
        <f>IFERROR(_xlfn.XLOOKUP($A164,'Raw Data'!$G:$G,'Raw Data'!$AB:$AB),"")</f>
        <v/>
      </c>
      <c r="H164" s="133"/>
      <c r="I164" s="133" t="str">
        <f>IFERROR(_xlfn.XLOOKUP($A164,'Raw Data'!$G:$G,'Raw Data'!$AC:$AC),"")</f>
        <v/>
      </c>
      <c r="J164" s="133"/>
      <c r="K164" s="133" t="str">
        <f>IFERROR(_xlfn.XLOOKUP($A164,'Raw Data'!$G:$G,'Raw Data'!AD:AD),"")</f>
        <v/>
      </c>
      <c r="L164" s="133" t="str">
        <f>IFERROR(_xlfn.XLOOKUP($A164,'Raw Data'!$G:$G,'Raw Data'!AE:AE),"")</f>
        <v/>
      </c>
      <c r="M164" s="133" t="str">
        <f>IFERROR(_xlfn.XLOOKUP($A164,'Raw Data'!$G:$G,'Raw Data'!AF:AF),"")</f>
        <v/>
      </c>
      <c r="N164" s="133" t="str">
        <f>IFERROR(_xlfn.XLOOKUP($A164,'Raw Data'!$G:$G,'Raw Data'!AG:AG),"")</f>
        <v/>
      </c>
      <c r="O164" s="134" t="str">
        <f>IFERROR(1-SUMIF('Plant BD'!$H:$H,$A164,'Plant BD'!$AE:$AE)/($AA164+SUMIF('Plant BD'!$H:$H,$A164,'Plant BD'!$AE:$AE)),"")</f>
        <v/>
      </c>
      <c r="P164" s="134"/>
      <c r="Q164" s="135"/>
      <c r="R164" s="134" t="str">
        <f>IFERROR(1-SUMIF('Grid BD'!$H:$H,$A164,'Grid BD'!$AD:$AD)/($AA164+SUMIF('Grid BD'!$H:$H,$A164,'Grid BD'!$AD:$AD)),"")</f>
        <v/>
      </c>
      <c r="T164" s="135"/>
      <c r="U164" s="136" t="str">
        <f t="shared" si="9"/>
        <v/>
      </c>
      <c r="V164" s="136"/>
      <c r="W164" s="137" t="str">
        <f t="shared" si="10"/>
        <v/>
      </c>
      <c r="X164" s="130" t="str">
        <f>IFERROR(_xlfn.XLOOKUP($A164,'Raw Data'!$G:$G,'Raw Data'!AI:AI),"")</f>
        <v/>
      </c>
      <c r="Y164" s="130" t="str">
        <f>IFERROR(_xlfn.XLOOKUP($A164,'Raw Data'!$G:$G,'Raw Data'!AJ:AJ),"")</f>
        <v/>
      </c>
      <c r="Z164" s="130" t="str">
        <f>IFERROR(_xlfn.XLOOKUP($A164,'Raw Data'!$G:$G,'Raw Data'!AK:AK),"")</f>
        <v/>
      </c>
      <c r="AA164" s="130" t="str">
        <f>IFERROR(_xlfn.XLOOKUP($A164,'Raw Data'!$G:$G,'Raw Data'!AL:AL),"")</f>
        <v/>
      </c>
      <c r="AB164" s="130" t="str">
        <f>IFERROR(_xlfn.XLOOKUP($A164,'Raw Data'!$G:$G,'Raw Data'!H:H),"")</f>
        <v/>
      </c>
      <c r="AC164" s="76">
        <f>IFERROR(_xlfn.XLOOKUP($D164,'Modelling New'!$D:$D,'Modelling New'!P:P),"")</f>
        <v>4.8466666666666667</v>
      </c>
      <c r="AD164" s="130">
        <f>IFERROR(_xlfn.XLOOKUP($D164,'Modelling New'!$D:$D,'Modelling New'!$T:$T)*1000,"")</f>
        <v>27099.030800071054</v>
      </c>
      <c r="AE164" s="138">
        <f>IFERROR(_xlfn.XLOOKUP($D164,'Modelling New'!$D:$D,'Modelling New'!O:O),"")</f>
        <v>0.69708783670793795</v>
      </c>
      <c r="AF164" s="137">
        <f>IFERROR(_xlfn.XLOOKUP($D164,'Modelling New'!$D:$D,'Modelling New'!W:W),"")</f>
        <v>0.14077301591296412</v>
      </c>
      <c r="AG164" s="137">
        <f>IFERROR(_xlfn.XLOOKUP($D164,'Modelling New'!$D:$D,'Modelling New'!AE:AE),"")</f>
        <v>0.98040000000000005</v>
      </c>
      <c r="AH164" s="156">
        <f>IFERROR(_xlfn.XLOOKUP($D164,'Modelling New'!$D:$D,'Modelling New'!AF:AF),"")</f>
        <v>0.98</v>
      </c>
      <c r="AN164" s="134"/>
      <c r="AO164" s="137"/>
      <c r="AP164" s="137"/>
      <c r="AQ164" s="137"/>
      <c r="AR164" s="130">
        <f>'Basic Data'!$B$98/1000</f>
        <v>8.0208999999999993</v>
      </c>
    </row>
    <row r="165" spans="1:44" x14ac:dyDescent="0.3">
      <c r="A165" s="129">
        <f t="shared" si="11"/>
        <v>45908</v>
      </c>
      <c r="B165" s="130">
        <f>YEAR(Table13[[#This Row],[Date]])+IF(MONTH(Table13[[#This Row],[Date]])&gt;=4,1,0)</f>
        <v>2026</v>
      </c>
      <c r="C165" s="7">
        <f>YEAR(Table13[[#This Row],[Date]])</f>
        <v>2025</v>
      </c>
      <c r="D165" s="131">
        <f>Table13[[#This Row],[Date]]-DAY(Table13[[#This Row],[Date]])+1</f>
        <v>45901</v>
      </c>
      <c r="E165" s="7">
        <f t="shared" si="8"/>
        <v>30</v>
      </c>
      <c r="F165" s="132" t="str">
        <f>IFERROR(_xlfn.XLOOKUP($A165,'Raw Data'!$G:$G,'Raw Data'!$AM:$AM),"")</f>
        <v/>
      </c>
      <c r="G165" s="133" t="str">
        <f>IFERROR(_xlfn.XLOOKUP($A165,'Raw Data'!$G:$G,'Raw Data'!$AB:$AB),"")</f>
        <v/>
      </c>
      <c r="H165" s="133"/>
      <c r="I165" s="133" t="str">
        <f>IFERROR(_xlfn.XLOOKUP($A165,'Raw Data'!$G:$G,'Raw Data'!$AC:$AC),"")</f>
        <v/>
      </c>
      <c r="J165" s="133"/>
      <c r="K165" s="133" t="str">
        <f>IFERROR(_xlfn.XLOOKUP($A165,'Raw Data'!$G:$G,'Raw Data'!AD:AD),"")</f>
        <v/>
      </c>
      <c r="L165" s="133" t="str">
        <f>IFERROR(_xlfn.XLOOKUP($A165,'Raw Data'!$G:$G,'Raw Data'!AE:AE),"")</f>
        <v/>
      </c>
      <c r="M165" s="133" t="str">
        <f>IFERROR(_xlfn.XLOOKUP($A165,'Raw Data'!$G:$G,'Raw Data'!AF:AF),"")</f>
        <v/>
      </c>
      <c r="N165" s="133" t="str">
        <f>IFERROR(_xlfn.XLOOKUP($A165,'Raw Data'!$G:$G,'Raw Data'!AG:AG),"")</f>
        <v/>
      </c>
      <c r="O165" s="134" t="str">
        <f>IFERROR(1-SUMIF('Plant BD'!$H:$H,$A165,'Plant BD'!$AE:$AE)/($AA165+SUMIF('Plant BD'!$H:$H,$A165,'Plant BD'!$AE:$AE)),"")</f>
        <v/>
      </c>
      <c r="P165" s="134"/>
      <c r="Q165" s="135"/>
      <c r="R165" s="134" t="str">
        <f>IFERROR(1-SUMIF('Grid BD'!$H:$H,$A165,'Grid BD'!$AD:$AD)/($AA165+SUMIF('Grid BD'!$H:$H,$A165,'Grid BD'!$AD:$AD)),"")</f>
        <v/>
      </c>
      <c r="T165" s="135"/>
      <c r="U165" s="136" t="str">
        <f t="shared" si="9"/>
        <v/>
      </c>
      <c r="V165" s="136"/>
      <c r="W165" s="137" t="str">
        <f t="shared" si="10"/>
        <v/>
      </c>
      <c r="X165" s="130" t="str">
        <f>IFERROR(_xlfn.XLOOKUP($A165,'Raw Data'!$G:$G,'Raw Data'!AI:AI),"")</f>
        <v/>
      </c>
      <c r="Y165" s="130" t="str">
        <f>IFERROR(_xlfn.XLOOKUP($A165,'Raw Data'!$G:$G,'Raw Data'!AJ:AJ),"")</f>
        <v/>
      </c>
      <c r="Z165" s="130" t="str">
        <f>IFERROR(_xlfn.XLOOKUP($A165,'Raw Data'!$G:$G,'Raw Data'!AK:AK),"")</f>
        <v/>
      </c>
      <c r="AA165" s="130" t="str">
        <f>IFERROR(_xlfn.XLOOKUP($A165,'Raw Data'!$G:$G,'Raw Data'!AL:AL),"")</f>
        <v/>
      </c>
      <c r="AB165" s="130" t="str">
        <f>IFERROR(_xlfn.XLOOKUP($A165,'Raw Data'!$G:$G,'Raw Data'!H:H),"")</f>
        <v/>
      </c>
      <c r="AC165" s="76">
        <f>IFERROR(_xlfn.XLOOKUP($D165,'Modelling New'!$D:$D,'Modelling New'!P:P),"")</f>
        <v>4.8466666666666667</v>
      </c>
      <c r="AD165" s="130">
        <f>IFERROR(_xlfn.XLOOKUP($D165,'Modelling New'!$D:$D,'Modelling New'!$T:$T)*1000,"")</f>
        <v>27099.030800071054</v>
      </c>
      <c r="AE165" s="138">
        <f>IFERROR(_xlfn.XLOOKUP($D165,'Modelling New'!$D:$D,'Modelling New'!O:O),"")</f>
        <v>0.69708783670793795</v>
      </c>
      <c r="AF165" s="137">
        <f>IFERROR(_xlfn.XLOOKUP($D165,'Modelling New'!$D:$D,'Modelling New'!W:W),"")</f>
        <v>0.14077301591296412</v>
      </c>
      <c r="AG165" s="137">
        <f>IFERROR(_xlfn.XLOOKUP($D165,'Modelling New'!$D:$D,'Modelling New'!AE:AE),"")</f>
        <v>0.98040000000000005</v>
      </c>
      <c r="AH165" s="156">
        <f>IFERROR(_xlfn.XLOOKUP($D165,'Modelling New'!$D:$D,'Modelling New'!AF:AF),"")</f>
        <v>0.98</v>
      </c>
      <c r="AN165" s="134"/>
      <c r="AO165" s="137"/>
      <c r="AP165" s="137"/>
      <c r="AQ165" s="137"/>
      <c r="AR165" s="130">
        <f>'Basic Data'!$B$98/1000</f>
        <v>8.0208999999999993</v>
      </c>
    </row>
    <row r="166" spans="1:44" x14ac:dyDescent="0.3">
      <c r="A166" s="129">
        <f t="shared" si="11"/>
        <v>45909</v>
      </c>
      <c r="B166" s="130">
        <f>YEAR(Table13[[#This Row],[Date]])+IF(MONTH(Table13[[#This Row],[Date]])&gt;=4,1,0)</f>
        <v>2026</v>
      </c>
      <c r="C166" s="7">
        <f>YEAR(Table13[[#This Row],[Date]])</f>
        <v>2025</v>
      </c>
      <c r="D166" s="131">
        <f>Table13[[#This Row],[Date]]-DAY(Table13[[#This Row],[Date]])+1</f>
        <v>45901</v>
      </c>
      <c r="E166" s="7">
        <f t="shared" si="8"/>
        <v>30</v>
      </c>
      <c r="F166" s="132" t="str">
        <f>IFERROR(_xlfn.XLOOKUP($A166,'Raw Data'!$G:$G,'Raw Data'!$AM:$AM),"")</f>
        <v/>
      </c>
      <c r="G166" s="133" t="str">
        <f>IFERROR(_xlfn.XLOOKUP($A166,'Raw Data'!$G:$G,'Raw Data'!$AB:$AB),"")</f>
        <v/>
      </c>
      <c r="H166" s="133"/>
      <c r="I166" s="133" t="str">
        <f>IFERROR(_xlfn.XLOOKUP($A166,'Raw Data'!$G:$G,'Raw Data'!$AC:$AC),"")</f>
        <v/>
      </c>
      <c r="J166" s="133"/>
      <c r="K166" s="133" t="str">
        <f>IFERROR(_xlfn.XLOOKUP($A166,'Raw Data'!$G:$G,'Raw Data'!AD:AD),"")</f>
        <v/>
      </c>
      <c r="L166" s="133" t="str">
        <f>IFERROR(_xlfn.XLOOKUP($A166,'Raw Data'!$G:$G,'Raw Data'!AE:AE),"")</f>
        <v/>
      </c>
      <c r="M166" s="133" t="str">
        <f>IFERROR(_xlfn.XLOOKUP($A166,'Raw Data'!$G:$G,'Raw Data'!AF:AF),"")</f>
        <v/>
      </c>
      <c r="N166" s="133" t="str">
        <f>IFERROR(_xlfn.XLOOKUP($A166,'Raw Data'!$G:$G,'Raw Data'!AG:AG),"")</f>
        <v/>
      </c>
      <c r="O166" s="134" t="str">
        <f>IFERROR(1-SUMIF('Plant BD'!$H:$H,$A166,'Plant BD'!$AE:$AE)/($AA166+SUMIF('Plant BD'!$H:$H,$A166,'Plant BD'!$AE:$AE)),"")</f>
        <v/>
      </c>
      <c r="P166" s="134"/>
      <c r="Q166" s="135"/>
      <c r="R166" s="134" t="str">
        <f>IFERROR(1-SUMIF('Grid BD'!$H:$H,$A166,'Grid BD'!$AD:$AD)/($AA166+SUMIF('Grid BD'!$H:$H,$A166,'Grid BD'!$AD:$AD)),"")</f>
        <v/>
      </c>
      <c r="T166" s="135"/>
      <c r="U166" s="136" t="str">
        <f t="shared" si="9"/>
        <v/>
      </c>
      <c r="V166" s="136"/>
      <c r="W166" s="137" t="str">
        <f t="shared" si="10"/>
        <v/>
      </c>
      <c r="X166" s="130" t="str">
        <f>IFERROR(_xlfn.XLOOKUP($A166,'Raw Data'!$G:$G,'Raw Data'!AI:AI),"")</f>
        <v/>
      </c>
      <c r="Y166" s="130" t="str">
        <f>IFERROR(_xlfn.XLOOKUP($A166,'Raw Data'!$G:$G,'Raw Data'!AJ:AJ),"")</f>
        <v/>
      </c>
      <c r="Z166" s="130" t="str">
        <f>IFERROR(_xlfn.XLOOKUP($A166,'Raw Data'!$G:$G,'Raw Data'!AK:AK),"")</f>
        <v/>
      </c>
      <c r="AA166" s="130" t="str">
        <f>IFERROR(_xlfn.XLOOKUP($A166,'Raw Data'!$G:$G,'Raw Data'!AL:AL),"")</f>
        <v/>
      </c>
      <c r="AB166" s="130" t="str">
        <f>IFERROR(_xlfn.XLOOKUP($A166,'Raw Data'!$G:$G,'Raw Data'!H:H),"")</f>
        <v/>
      </c>
      <c r="AC166" s="76">
        <f>IFERROR(_xlfn.XLOOKUP($D166,'Modelling New'!$D:$D,'Modelling New'!P:P),"")</f>
        <v>4.8466666666666667</v>
      </c>
      <c r="AD166" s="130">
        <f>IFERROR(_xlfn.XLOOKUP($D166,'Modelling New'!$D:$D,'Modelling New'!$T:$T)*1000,"")</f>
        <v>27099.030800071054</v>
      </c>
      <c r="AE166" s="138">
        <f>IFERROR(_xlfn.XLOOKUP($D166,'Modelling New'!$D:$D,'Modelling New'!O:O),"")</f>
        <v>0.69708783670793795</v>
      </c>
      <c r="AF166" s="137">
        <f>IFERROR(_xlfn.XLOOKUP($D166,'Modelling New'!$D:$D,'Modelling New'!W:W),"")</f>
        <v>0.14077301591296412</v>
      </c>
      <c r="AG166" s="137">
        <f>IFERROR(_xlfn.XLOOKUP($D166,'Modelling New'!$D:$D,'Modelling New'!AE:AE),"")</f>
        <v>0.98040000000000005</v>
      </c>
      <c r="AH166" s="156">
        <f>IFERROR(_xlfn.XLOOKUP($D166,'Modelling New'!$D:$D,'Modelling New'!AF:AF),"")</f>
        <v>0.98</v>
      </c>
      <c r="AN166" s="134"/>
      <c r="AO166" s="137"/>
      <c r="AP166" s="137"/>
      <c r="AQ166" s="137"/>
      <c r="AR166" s="130">
        <f>'Basic Data'!$B$98/1000</f>
        <v>8.0208999999999993</v>
      </c>
    </row>
    <row r="167" spans="1:44" x14ac:dyDescent="0.3">
      <c r="A167" s="129">
        <f t="shared" si="11"/>
        <v>45910</v>
      </c>
      <c r="B167" s="130">
        <f>YEAR(Table13[[#This Row],[Date]])+IF(MONTH(Table13[[#This Row],[Date]])&gt;=4,1,0)</f>
        <v>2026</v>
      </c>
      <c r="C167" s="7">
        <f>YEAR(Table13[[#This Row],[Date]])</f>
        <v>2025</v>
      </c>
      <c r="D167" s="131">
        <f>Table13[[#This Row],[Date]]-DAY(Table13[[#This Row],[Date]])+1</f>
        <v>45901</v>
      </c>
      <c r="E167" s="7">
        <f t="shared" si="8"/>
        <v>30</v>
      </c>
      <c r="F167" s="132" t="str">
        <f>IFERROR(_xlfn.XLOOKUP($A167,'Raw Data'!$G:$G,'Raw Data'!$AM:$AM),"")</f>
        <v/>
      </c>
      <c r="G167" s="133" t="str">
        <f>IFERROR(_xlfn.XLOOKUP($A167,'Raw Data'!$G:$G,'Raw Data'!$AB:$AB),"")</f>
        <v/>
      </c>
      <c r="H167" s="133"/>
      <c r="I167" s="133" t="str">
        <f>IFERROR(_xlfn.XLOOKUP($A167,'Raw Data'!$G:$G,'Raw Data'!$AC:$AC),"")</f>
        <v/>
      </c>
      <c r="J167" s="133"/>
      <c r="K167" s="133" t="str">
        <f>IFERROR(_xlfn.XLOOKUP($A167,'Raw Data'!$G:$G,'Raw Data'!AD:AD),"")</f>
        <v/>
      </c>
      <c r="L167" s="133" t="str">
        <f>IFERROR(_xlfn.XLOOKUP($A167,'Raw Data'!$G:$G,'Raw Data'!AE:AE),"")</f>
        <v/>
      </c>
      <c r="M167" s="133" t="str">
        <f>IFERROR(_xlfn.XLOOKUP($A167,'Raw Data'!$G:$G,'Raw Data'!AF:AF),"")</f>
        <v/>
      </c>
      <c r="N167" s="133" t="str">
        <f>IFERROR(_xlfn.XLOOKUP($A167,'Raw Data'!$G:$G,'Raw Data'!AG:AG),"")</f>
        <v/>
      </c>
      <c r="O167" s="134" t="str">
        <f>IFERROR(1-SUMIF('Plant BD'!$H:$H,$A167,'Plant BD'!$AE:$AE)/($AA167+SUMIF('Plant BD'!$H:$H,$A167,'Plant BD'!$AE:$AE)),"")</f>
        <v/>
      </c>
      <c r="P167" s="134"/>
      <c r="Q167" s="135"/>
      <c r="R167" s="134" t="str">
        <f>IFERROR(1-SUMIF('Grid BD'!$H:$H,$A167,'Grid BD'!$AD:$AD)/($AA167+SUMIF('Grid BD'!$H:$H,$A167,'Grid BD'!$AD:$AD)),"")</f>
        <v/>
      </c>
      <c r="T167" s="135"/>
      <c r="U167" s="136" t="str">
        <f t="shared" si="9"/>
        <v/>
      </c>
      <c r="V167" s="136"/>
      <c r="W167" s="137" t="str">
        <f t="shared" si="10"/>
        <v/>
      </c>
      <c r="X167" s="130" t="str">
        <f>IFERROR(_xlfn.XLOOKUP($A167,'Raw Data'!$G:$G,'Raw Data'!AI:AI),"")</f>
        <v/>
      </c>
      <c r="Y167" s="130" t="str">
        <f>IFERROR(_xlfn.XLOOKUP($A167,'Raw Data'!$G:$G,'Raw Data'!AJ:AJ),"")</f>
        <v/>
      </c>
      <c r="Z167" s="130" t="str">
        <f>IFERROR(_xlfn.XLOOKUP($A167,'Raw Data'!$G:$G,'Raw Data'!AK:AK),"")</f>
        <v/>
      </c>
      <c r="AA167" s="130" t="str">
        <f>IFERROR(_xlfn.XLOOKUP($A167,'Raw Data'!$G:$G,'Raw Data'!AL:AL),"")</f>
        <v/>
      </c>
      <c r="AB167" s="130" t="str">
        <f>IFERROR(_xlfn.XLOOKUP($A167,'Raw Data'!$G:$G,'Raw Data'!H:H),"")</f>
        <v/>
      </c>
      <c r="AC167" s="76">
        <f>IFERROR(_xlfn.XLOOKUP($D167,'Modelling New'!$D:$D,'Modelling New'!P:P),"")</f>
        <v>4.8466666666666667</v>
      </c>
      <c r="AD167" s="130">
        <f>IFERROR(_xlfn.XLOOKUP($D167,'Modelling New'!$D:$D,'Modelling New'!$T:$T)*1000,"")</f>
        <v>27099.030800071054</v>
      </c>
      <c r="AE167" s="138">
        <f>IFERROR(_xlfn.XLOOKUP($D167,'Modelling New'!$D:$D,'Modelling New'!O:O),"")</f>
        <v>0.69708783670793795</v>
      </c>
      <c r="AF167" s="137">
        <f>IFERROR(_xlfn.XLOOKUP($D167,'Modelling New'!$D:$D,'Modelling New'!W:W),"")</f>
        <v>0.14077301591296412</v>
      </c>
      <c r="AG167" s="137">
        <f>IFERROR(_xlfn.XLOOKUP($D167,'Modelling New'!$D:$D,'Modelling New'!AE:AE),"")</f>
        <v>0.98040000000000005</v>
      </c>
      <c r="AH167" s="156">
        <f>IFERROR(_xlfn.XLOOKUP($D167,'Modelling New'!$D:$D,'Modelling New'!AF:AF),"")</f>
        <v>0.98</v>
      </c>
      <c r="AN167" s="134"/>
      <c r="AO167" s="137"/>
      <c r="AP167" s="137"/>
      <c r="AQ167" s="137"/>
      <c r="AR167" s="130">
        <f>'Basic Data'!$B$98/1000</f>
        <v>8.0208999999999993</v>
      </c>
    </row>
    <row r="168" spans="1:44" x14ac:dyDescent="0.3">
      <c r="A168" s="129">
        <f t="shared" si="11"/>
        <v>45911</v>
      </c>
      <c r="B168" s="130">
        <f>YEAR(Table13[[#This Row],[Date]])+IF(MONTH(Table13[[#This Row],[Date]])&gt;=4,1,0)</f>
        <v>2026</v>
      </c>
      <c r="C168" s="7">
        <f>YEAR(Table13[[#This Row],[Date]])</f>
        <v>2025</v>
      </c>
      <c r="D168" s="131">
        <f>Table13[[#This Row],[Date]]-DAY(Table13[[#This Row],[Date]])+1</f>
        <v>45901</v>
      </c>
      <c r="E168" s="7">
        <f t="shared" si="8"/>
        <v>30</v>
      </c>
      <c r="F168" s="132" t="str">
        <f>IFERROR(_xlfn.XLOOKUP($A168,'Raw Data'!$G:$G,'Raw Data'!$AM:$AM),"")</f>
        <v/>
      </c>
      <c r="G168" s="133" t="str">
        <f>IFERROR(_xlfn.XLOOKUP($A168,'Raw Data'!$G:$G,'Raw Data'!$AB:$AB),"")</f>
        <v/>
      </c>
      <c r="H168" s="133"/>
      <c r="I168" s="133" t="str">
        <f>IFERROR(_xlfn.XLOOKUP($A168,'Raw Data'!$G:$G,'Raw Data'!$AC:$AC),"")</f>
        <v/>
      </c>
      <c r="J168" s="133"/>
      <c r="K168" s="133" t="str">
        <f>IFERROR(_xlfn.XLOOKUP($A168,'Raw Data'!$G:$G,'Raw Data'!AD:AD),"")</f>
        <v/>
      </c>
      <c r="L168" s="133" t="str">
        <f>IFERROR(_xlfn.XLOOKUP($A168,'Raw Data'!$G:$G,'Raw Data'!AE:AE),"")</f>
        <v/>
      </c>
      <c r="M168" s="133" t="str">
        <f>IFERROR(_xlfn.XLOOKUP($A168,'Raw Data'!$G:$G,'Raw Data'!AF:AF),"")</f>
        <v/>
      </c>
      <c r="N168" s="133" t="str">
        <f>IFERROR(_xlfn.XLOOKUP($A168,'Raw Data'!$G:$G,'Raw Data'!AG:AG),"")</f>
        <v/>
      </c>
      <c r="O168" s="134" t="str">
        <f>IFERROR(1-SUMIF('Plant BD'!$H:$H,$A168,'Plant BD'!$AE:$AE)/($AA168+SUMIF('Plant BD'!$H:$H,$A168,'Plant BD'!$AE:$AE)),"")</f>
        <v/>
      </c>
      <c r="P168" s="134"/>
      <c r="Q168" s="135"/>
      <c r="R168" s="134" t="str">
        <f>IFERROR(1-SUMIF('Grid BD'!$H:$H,$A168,'Grid BD'!$AD:$AD)/($AA168+SUMIF('Grid BD'!$H:$H,$A168,'Grid BD'!$AD:$AD)),"")</f>
        <v/>
      </c>
      <c r="T168" s="135"/>
      <c r="U168" s="136" t="str">
        <f t="shared" si="9"/>
        <v/>
      </c>
      <c r="V168" s="136"/>
      <c r="W168" s="137" t="str">
        <f t="shared" si="10"/>
        <v/>
      </c>
      <c r="X168" s="130" t="str">
        <f>IFERROR(_xlfn.XLOOKUP($A168,'Raw Data'!$G:$G,'Raw Data'!AI:AI),"")</f>
        <v/>
      </c>
      <c r="Y168" s="130" t="str">
        <f>IFERROR(_xlfn.XLOOKUP($A168,'Raw Data'!$G:$G,'Raw Data'!AJ:AJ),"")</f>
        <v/>
      </c>
      <c r="Z168" s="130" t="str">
        <f>IFERROR(_xlfn.XLOOKUP($A168,'Raw Data'!$G:$G,'Raw Data'!AK:AK),"")</f>
        <v/>
      </c>
      <c r="AA168" s="130" t="str">
        <f>IFERROR(_xlfn.XLOOKUP($A168,'Raw Data'!$G:$G,'Raw Data'!AL:AL),"")</f>
        <v/>
      </c>
      <c r="AB168" s="130" t="str">
        <f>IFERROR(_xlfn.XLOOKUP($A168,'Raw Data'!$G:$G,'Raw Data'!H:H),"")</f>
        <v/>
      </c>
      <c r="AC168" s="76">
        <f>IFERROR(_xlfn.XLOOKUP($D168,'Modelling New'!$D:$D,'Modelling New'!P:P),"")</f>
        <v>4.8466666666666667</v>
      </c>
      <c r="AD168" s="130">
        <f>IFERROR(_xlfn.XLOOKUP($D168,'Modelling New'!$D:$D,'Modelling New'!$T:$T)*1000,"")</f>
        <v>27099.030800071054</v>
      </c>
      <c r="AE168" s="138">
        <f>IFERROR(_xlfn.XLOOKUP($D168,'Modelling New'!$D:$D,'Modelling New'!O:O),"")</f>
        <v>0.69708783670793795</v>
      </c>
      <c r="AF168" s="137">
        <f>IFERROR(_xlfn.XLOOKUP($D168,'Modelling New'!$D:$D,'Modelling New'!W:W),"")</f>
        <v>0.14077301591296412</v>
      </c>
      <c r="AG168" s="137">
        <f>IFERROR(_xlfn.XLOOKUP($D168,'Modelling New'!$D:$D,'Modelling New'!AE:AE),"")</f>
        <v>0.98040000000000005</v>
      </c>
      <c r="AH168" s="156">
        <f>IFERROR(_xlfn.XLOOKUP($D168,'Modelling New'!$D:$D,'Modelling New'!AF:AF),"")</f>
        <v>0.98</v>
      </c>
      <c r="AN168" s="134"/>
      <c r="AO168" s="137"/>
      <c r="AP168" s="137"/>
      <c r="AQ168" s="137"/>
      <c r="AR168" s="130">
        <f>'Basic Data'!$B$98/1000</f>
        <v>8.0208999999999993</v>
      </c>
    </row>
    <row r="169" spans="1:44" x14ac:dyDescent="0.3">
      <c r="A169" s="129">
        <f t="shared" si="11"/>
        <v>45912</v>
      </c>
      <c r="B169" s="130">
        <f>YEAR(Table13[[#This Row],[Date]])+IF(MONTH(Table13[[#This Row],[Date]])&gt;=4,1,0)</f>
        <v>2026</v>
      </c>
      <c r="C169" s="7">
        <f>YEAR(Table13[[#This Row],[Date]])</f>
        <v>2025</v>
      </c>
      <c r="D169" s="131">
        <f>Table13[[#This Row],[Date]]-DAY(Table13[[#This Row],[Date]])+1</f>
        <v>45901</v>
      </c>
      <c r="E169" s="7">
        <f t="shared" si="8"/>
        <v>30</v>
      </c>
      <c r="F169" s="132" t="str">
        <f>IFERROR(_xlfn.XLOOKUP($A169,'Raw Data'!$G:$G,'Raw Data'!$AM:$AM),"")</f>
        <v/>
      </c>
      <c r="G169" s="133" t="str">
        <f>IFERROR(_xlfn.XLOOKUP($A169,'Raw Data'!$G:$G,'Raw Data'!$AB:$AB),"")</f>
        <v/>
      </c>
      <c r="H169" s="133"/>
      <c r="I169" s="133" t="str">
        <f>IFERROR(_xlfn.XLOOKUP($A169,'Raw Data'!$G:$G,'Raw Data'!$AC:$AC),"")</f>
        <v/>
      </c>
      <c r="J169" s="133"/>
      <c r="K169" s="133" t="str">
        <f>IFERROR(_xlfn.XLOOKUP($A169,'Raw Data'!$G:$G,'Raw Data'!AD:AD),"")</f>
        <v/>
      </c>
      <c r="L169" s="133" t="str">
        <f>IFERROR(_xlfn.XLOOKUP($A169,'Raw Data'!$G:$G,'Raw Data'!AE:AE),"")</f>
        <v/>
      </c>
      <c r="M169" s="133" t="str">
        <f>IFERROR(_xlfn.XLOOKUP($A169,'Raw Data'!$G:$G,'Raw Data'!AF:AF),"")</f>
        <v/>
      </c>
      <c r="N169" s="133" t="str">
        <f>IFERROR(_xlfn.XLOOKUP($A169,'Raw Data'!$G:$G,'Raw Data'!AG:AG),"")</f>
        <v/>
      </c>
      <c r="O169" s="134" t="str">
        <f>IFERROR(1-SUMIF('Plant BD'!$H:$H,$A169,'Plant BD'!$AE:$AE)/($AA169+SUMIF('Plant BD'!$H:$H,$A169,'Plant BD'!$AE:$AE)),"")</f>
        <v/>
      </c>
      <c r="P169" s="134"/>
      <c r="Q169" s="135"/>
      <c r="R169" s="134" t="str">
        <f>IFERROR(1-SUMIF('Grid BD'!$H:$H,$A169,'Grid BD'!$AD:$AD)/($AA169+SUMIF('Grid BD'!$H:$H,$A169,'Grid BD'!$AD:$AD)),"")</f>
        <v/>
      </c>
      <c r="T169" s="135"/>
      <c r="U169" s="136" t="str">
        <f t="shared" si="9"/>
        <v/>
      </c>
      <c r="V169" s="136"/>
      <c r="W169" s="137" t="str">
        <f t="shared" si="10"/>
        <v/>
      </c>
      <c r="X169" s="130" t="str">
        <f>IFERROR(_xlfn.XLOOKUP($A169,'Raw Data'!$G:$G,'Raw Data'!AI:AI),"")</f>
        <v/>
      </c>
      <c r="Y169" s="130" t="str">
        <f>IFERROR(_xlfn.XLOOKUP($A169,'Raw Data'!$G:$G,'Raw Data'!AJ:AJ),"")</f>
        <v/>
      </c>
      <c r="Z169" s="130" t="str">
        <f>IFERROR(_xlfn.XLOOKUP($A169,'Raw Data'!$G:$G,'Raw Data'!AK:AK),"")</f>
        <v/>
      </c>
      <c r="AA169" s="130" t="str">
        <f>IFERROR(_xlfn.XLOOKUP($A169,'Raw Data'!$G:$G,'Raw Data'!AL:AL),"")</f>
        <v/>
      </c>
      <c r="AB169" s="130" t="str">
        <f>IFERROR(_xlfn.XLOOKUP($A169,'Raw Data'!$G:$G,'Raw Data'!H:H),"")</f>
        <v/>
      </c>
      <c r="AC169" s="76">
        <f>IFERROR(_xlfn.XLOOKUP($D169,'Modelling New'!$D:$D,'Modelling New'!P:P),"")</f>
        <v>4.8466666666666667</v>
      </c>
      <c r="AD169" s="130">
        <f>IFERROR(_xlfn.XLOOKUP($D169,'Modelling New'!$D:$D,'Modelling New'!$T:$T)*1000,"")</f>
        <v>27099.030800071054</v>
      </c>
      <c r="AE169" s="138">
        <f>IFERROR(_xlfn.XLOOKUP($D169,'Modelling New'!$D:$D,'Modelling New'!O:O),"")</f>
        <v>0.69708783670793795</v>
      </c>
      <c r="AF169" s="137">
        <f>IFERROR(_xlfn.XLOOKUP($D169,'Modelling New'!$D:$D,'Modelling New'!W:W),"")</f>
        <v>0.14077301591296412</v>
      </c>
      <c r="AG169" s="137">
        <f>IFERROR(_xlfn.XLOOKUP($D169,'Modelling New'!$D:$D,'Modelling New'!AE:AE),"")</f>
        <v>0.98040000000000005</v>
      </c>
      <c r="AH169" s="156">
        <f>IFERROR(_xlfn.XLOOKUP($D169,'Modelling New'!$D:$D,'Modelling New'!AF:AF),"")</f>
        <v>0.98</v>
      </c>
      <c r="AN169" s="134"/>
      <c r="AO169" s="137"/>
      <c r="AP169" s="137"/>
      <c r="AQ169" s="137"/>
      <c r="AR169" s="130">
        <f>'Basic Data'!$B$98/1000</f>
        <v>8.0208999999999993</v>
      </c>
    </row>
    <row r="170" spans="1:44" x14ac:dyDescent="0.3">
      <c r="A170" s="129">
        <f t="shared" si="11"/>
        <v>45913</v>
      </c>
      <c r="B170" s="130">
        <f>YEAR(Table13[[#This Row],[Date]])+IF(MONTH(Table13[[#This Row],[Date]])&gt;=4,1,0)</f>
        <v>2026</v>
      </c>
      <c r="C170" s="7">
        <f>YEAR(Table13[[#This Row],[Date]])</f>
        <v>2025</v>
      </c>
      <c r="D170" s="131">
        <f>Table13[[#This Row],[Date]]-DAY(Table13[[#This Row],[Date]])+1</f>
        <v>45901</v>
      </c>
      <c r="E170" s="7">
        <f t="shared" si="8"/>
        <v>30</v>
      </c>
      <c r="F170" s="132" t="str">
        <f>IFERROR(_xlfn.XLOOKUP($A170,'Raw Data'!$G:$G,'Raw Data'!$AM:$AM),"")</f>
        <v/>
      </c>
      <c r="G170" s="133" t="str">
        <f>IFERROR(_xlfn.XLOOKUP($A170,'Raw Data'!$G:$G,'Raw Data'!$AB:$AB),"")</f>
        <v/>
      </c>
      <c r="H170" s="133"/>
      <c r="I170" s="133" t="str">
        <f>IFERROR(_xlfn.XLOOKUP($A170,'Raw Data'!$G:$G,'Raw Data'!$AC:$AC),"")</f>
        <v/>
      </c>
      <c r="J170" s="133"/>
      <c r="K170" s="133" t="str">
        <f>IFERROR(_xlfn.XLOOKUP($A170,'Raw Data'!$G:$G,'Raw Data'!AD:AD),"")</f>
        <v/>
      </c>
      <c r="L170" s="133" t="str">
        <f>IFERROR(_xlfn.XLOOKUP($A170,'Raw Data'!$G:$G,'Raw Data'!AE:AE),"")</f>
        <v/>
      </c>
      <c r="M170" s="133" t="str">
        <f>IFERROR(_xlfn.XLOOKUP($A170,'Raw Data'!$G:$G,'Raw Data'!AF:AF),"")</f>
        <v/>
      </c>
      <c r="N170" s="133" t="str">
        <f>IFERROR(_xlfn.XLOOKUP($A170,'Raw Data'!$G:$G,'Raw Data'!AG:AG),"")</f>
        <v/>
      </c>
      <c r="O170" s="134" t="str">
        <f>IFERROR(1-SUMIF('Plant BD'!$H:$H,$A170,'Plant BD'!$AE:$AE)/($AA170+SUMIF('Plant BD'!$H:$H,$A170,'Plant BD'!$AE:$AE)),"")</f>
        <v/>
      </c>
      <c r="P170" s="134"/>
      <c r="Q170" s="135"/>
      <c r="R170" s="134" t="str">
        <f>IFERROR(1-SUMIF('Grid BD'!$H:$H,$A170,'Grid BD'!$AD:$AD)/($AA170+SUMIF('Grid BD'!$H:$H,$A170,'Grid BD'!$AD:$AD)),"")</f>
        <v/>
      </c>
      <c r="T170" s="135"/>
      <c r="U170" s="136" t="str">
        <f t="shared" si="9"/>
        <v/>
      </c>
      <c r="V170" s="136"/>
      <c r="W170" s="137" t="str">
        <f t="shared" si="10"/>
        <v/>
      </c>
      <c r="X170" s="130" t="str">
        <f>IFERROR(_xlfn.XLOOKUP($A170,'Raw Data'!$G:$G,'Raw Data'!AI:AI),"")</f>
        <v/>
      </c>
      <c r="Y170" s="130" t="str">
        <f>IFERROR(_xlfn.XLOOKUP($A170,'Raw Data'!$G:$G,'Raw Data'!AJ:AJ),"")</f>
        <v/>
      </c>
      <c r="Z170" s="130" t="str">
        <f>IFERROR(_xlfn.XLOOKUP($A170,'Raw Data'!$G:$G,'Raw Data'!AK:AK),"")</f>
        <v/>
      </c>
      <c r="AA170" s="130" t="str">
        <f>IFERROR(_xlfn.XLOOKUP($A170,'Raw Data'!$G:$G,'Raw Data'!AL:AL),"")</f>
        <v/>
      </c>
      <c r="AB170" s="130" t="str">
        <f>IFERROR(_xlfn.XLOOKUP($A170,'Raw Data'!$G:$G,'Raw Data'!H:H),"")</f>
        <v/>
      </c>
      <c r="AC170" s="76">
        <f>IFERROR(_xlfn.XLOOKUP($D170,'Modelling New'!$D:$D,'Modelling New'!P:P),"")</f>
        <v>4.8466666666666667</v>
      </c>
      <c r="AD170" s="130">
        <f>IFERROR(_xlfn.XLOOKUP($D170,'Modelling New'!$D:$D,'Modelling New'!$T:$T)*1000,"")</f>
        <v>27099.030800071054</v>
      </c>
      <c r="AE170" s="138">
        <f>IFERROR(_xlfn.XLOOKUP($D170,'Modelling New'!$D:$D,'Modelling New'!O:O),"")</f>
        <v>0.69708783670793795</v>
      </c>
      <c r="AF170" s="137">
        <f>IFERROR(_xlfn.XLOOKUP($D170,'Modelling New'!$D:$D,'Modelling New'!W:W),"")</f>
        <v>0.14077301591296412</v>
      </c>
      <c r="AG170" s="137">
        <f>IFERROR(_xlfn.XLOOKUP($D170,'Modelling New'!$D:$D,'Modelling New'!AE:AE),"")</f>
        <v>0.98040000000000005</v>
      </c>
      <c r="AH170" s="156">
        <f>IFERROR(_xlfn.XLOOKUP($D170,'Modelling New'!$D:$D,'Modelling New'!AF:AF),"")</f>
        <v>0.98</v>
      </c>
      <c r="AN170" s="134"/>
      <c r="AO170" s="137"/>
      <c r="AP170" s="137"/>
      <c r="AQ170" s="137"/>
      <c r="AR170" s="130">
        <f>'Basic Data'!$B$98/1000</f>
        <v>8.0208999999999993</v>
      </c>
    </row>
    <row r="171" spans="1:44" x14ac:dyDescent="0.3">
      <c r="A171" s="129">
        <f t="shared" si="11"/>
        <v>45914</v>
      </c>
      <c r="B171" s="130">
        <f>YEAR(Table13[[#This Row],[Date]])+IF(MONTH(Table13[[#This Row],[Date]])&gt;=4,1,0)</f>
        <v>2026</v>
      </c>
      <c r="C171" s="7">
        <f>YEAR(Table13[[#This Row],[Date]])</f>
        <v>2025</v>
      </c>
      <c r="D171" s="131">
        <f>Table13[[#This Row],[Date]]-DAY(Table13[[#This Row],[Date]])+1</f>
        <v>45901</v>
      </c>
      <c r="E171" s="7">
        <f t="shared" si="8"/>
        <v>30</v>
      </c>
      <c r="F171" s="132" t="str">
        <f>IFERROR(_xlfn.XLOOKUP($A171,'Raw Data'!$G:$G,'Raw Data'!$AM:$AM),"")</f>
        <v/>
      </c>
      <c r="G171" s="133" t="str">
        <f>IFERROR(_xlfn.XLOOKUP($A171,'Raw Data'!$G:$G,'Raw Data'!$AB:$AB),"")</f>
        <v/>
      </c>
      <c r="H171" s="133"/>
      <c r="I171" s="133" t="str">
        <f>IFERROR(_xlfn.XLOOKUP($A171,'Raw Data'!$G:$G,'Raw Data'!$AC:$AC),"")</f>
        <v/>
      </c>
      <c r="J171" s="133"/>
      <c r="K171" s="133" t="str">
        <f>IFERROR(_xlfn.XLOOKUP($A171,'Raw Data'!$G:$G,'Raw Data'!AD:AD),"")</f>
        <v/>
      </c>
      <c r="L171" s="133" t="str">
        <f>IFERROR(_xlfn.XLOOKUP($A171,'Raw Data'!$G:$G,'Raw Data'!AE:AE),"")</f>
        <v/>
      </c>
      <c r="M171" s="133" t="str">
        <f>IFERROR(_xlfn.XLOOKUP($A171,'Raw Data'!$G:$G,'Raw Data'!AF:AF),"")</f>
        <v/>
      </c>
      <c r="N171" s="133" t="str">
        <f>IFERROR(_xlfn.XLOOKUP($A171,'Raw Data'!$G:$G,'Raw Data'!AG:AG),"")</f>
        <v/>
      </c>
      <c r="O171" s="134" t="str">
        <f>IFERROR(1-SUMIF('Plant BD'!$H:$H,$A171,'Plant BD'!$AE:$AE)/($AA171+SUMIF('Plant BD'!$H:$H,$A171,'Plant BD'!$AE:$AE)),"")</f>
        <v/>
      </c>
      <c r="P171" s="134"/>
      <c r="Q171" s="135"/>
      <c r="R171" s="134" t="str">
        <f>IFERROR(1-SUMIF('Grid BD'!$H:$H,$A171,'Grid BD'!$AD:$AD)/($AA171+SUMIF('Grid BD'!$H:$H,$A171,'Grid BD'!$AD:$AD)),"")</f>
        <v/>
      </c>
      <c r="T171" s="135"/>
      <c r="U171" s="136" t="str">
        <f t="shared" si="9"/>
        <v/>
      </c>
      <c r="V171" s="136"/>
      <c r="W171" s="137" t="str">
        <f t="shared" si="10"/>
        <v/>
      </c>
      <c r="X171" s="130" t="str">
        <f>IFERROR(_xlfn.XLOOKUP($A171,'Raw Data'!$G:$G,'Raw Data'!AI:AI),"")</f>
        <v/>
      </c>
      <c r="Y171" s="130" t="str">
        <f>IFERROR(_xlfn.XLOOKUP($A171,'Raw Data'!$G:$G,'Raw Data'!AJ:AJ),"")</f>
        <v/>
      </c>
      <c r="Z171" s="130" t="str">
        <f>IFERROR(_xlfn.XLOOKUP($A171,'Raw Data'!$G:$G,'Raw Data'!AK:AK),"")</f>
        <v/>
      </c>
      <c r="AA171" s="130" t="str">
        <f>IFERROR(_xlfn.XLOOKUP($A171,'Raw Data'!$G:$G,'Raw Data'!AL:AL),"")</f>
        <v/>
      </c>
      <c r="AB171" s="130" t="str">
        <f>IFERROR(_xlfn.XLOOKUP($A171,'Raw Data'!$G:$G,'Raw Data'!H:H),"")</f>
        <v/>
      </c>
      <c r="AC171" s="76">
        <f>IFERROR(_xlfn.XLOOKUP($D171,'Modelling New'!$D:$D,'Modelling New'!P:P),"")</f>
        <v>4.8466666666666667</v>
      </c>
      <c r="AD171" s="130">
        <f>IFERROR(_xlfn.XLOOKUP($D171,'Modelling New'!$D:$D,'Modelling New'!$T:$T)*1000,"")</f>
        <v>27099.030800071054</v>
      </c>
      <c r="AE171" s="138">
        <f>IFERROR(_xlfn.XLOOKUP($D171,'Modelling New'!$D:$D,'Modelling New'!O:O),"")</f>
        <v>0.69708783670793795</v>
      </c>
      <c r="AF171" s="137">
        <f>IFERROR(_xlfn.XLOOKUP($D171,'Modelling New'!$D:$D,'Modelling New'!W:W),"")</f>
        <v>0.14077301591296412</v>
      </c>
      <c r="AG171" s="137">
        <f>IFERROR(_xlfn.XLOOKUP($D171,'Modelling New'!$D:$D,'Modelling New'!AE:AE),"")</f>
        <v>0.98040000000000005</v>
      </c>
      <c r="AH171" s="156">
        <f>IFERROR(_xlfn.XLOOKUP($D171,'Modelling New'!$D:$D,'Modelling New'!AF:AF),"")</f>
        <v>0.98</v>
      </c>
      <c r="AN171" s="134"/>
      <c r="AO171" s="137"/>
      <c r="AP171" s="137"/>
      <c r="AQ171" s="137"/>
      <c r="AR171" s="130">
        <f>'Basic Data'!$B$98/1000</f>
        <v>8.0208999999999993</v>
      </c>
    </row>
    <row r="172" spans="1:44" x14ac:dyDescent="0.3">
      <c r="A172" s="129">
        <f t="shared" si="11"/>
        <v>45915</v>
      </c>
      <c r="B172" s="130">
        <f>YEAR(Table13[[#This Row],[Date]])+IF(MONTH(Table13[[#This Row],[Date]])&gt;=4,1,0)</f>
        <v>2026</v>
      </c>
      <c r="C172" s="7">
        <f>YEAR(Table13[[#This Row],[Date]])</f>
        <v>2025</v>
      </c>
      <c r="D172" s="131">
        <f>Table13[[#This Row],[Date]]-DAY(Table13[[#This Row],[Date]])+1</f>
        <v>45901</v>
      </c>
      <c r="E172" s="7">
        <f t="shared" si="8"/>
        <v>30</v>
      </c>
      <c r="F172" s="132" t="str">
        <f>IFERROR(_xlfn.XLOOKUP($A172,'Raw Data'!$G:$G,'Raw Data'!$AM:$AM),"")</f>
        <v/>
      </c>
      <c r="G172" s="133" t="str">
        <f>IFERROR(_xlfn.XLOOKUP($A172,'Raw Data'!$G:$G,'Raw Data'!$AB:$AB),"")</f>
        <v/>
      </c>
      <c r="H172" s="133"/>
      <c r="I172" s="133" t="str">
        <f>IFERROR(_xlfn.XLOOKUP($A172,'Raw Data'!$G:$G,'Raw Data'!$AC:$AC),"")</f>
        <v/>
      </c>
      <c r="J172" s="133"/>
      <c r="K172" s="133" t="str">
        <f>IFERROR(_xlfn.XLOOKUP($A172,'Raw Data'!$G:$G,'Raw Data'!AD:AD),"")</f>
        <v/>
      </c>
      <c r="L172" s="133" t="str">
        <f>IFERROR(_xlfn.XLOOKUP($A172,'Raw Data'!$G:$G,'Raw Data'!AE:AE),"")</f>
        <v/>
      </c>
      <c r="M172" s="133" t="str">
        <f>IFERROR(_xlfn.XLOOKUP($A172,'Raw Data'!$G:$G,'Raw Data'!AF:AF),"")</f>
        <v/>
      </c>
      <c r="N172" s="133" t="str">
        <f>IFERROR(_xlfn.XLOOKUP($A172,'Raw Data'!$G:$G,'Raw Data'!AG:AG),"")</f>
        <v/>
      </c>
      <c r="O172" s="134" t="str">
        <f>IFERROR(1-SUMIF('Plant BD'!$H:$H,$A172,'Plant BD'!$AE:$AE)/($AA172+SUMIF('Plant BD'!$H:$H,$A172,'Plant BD'!$AE:$AE)),"")</f>
        <v/>
      </c>
      <c r="P172" s="134"/>
      <c r="Q172" s="135"/>
      <c r="R172" s="134" t="str">
        <f>IFERROR(1-SUMIF('Grid BD'!$H:$H,$A172,'Grid BD'!$AD:$AD)/($AA172+SUMIF('Grid BD'!$H:$H,$A172,'Grid BD'!$AD:$AD)),"")</f>
        <v/>
      </c>
      <c r="T172" s="135"/>
      <c r="U172" s="136" t="str">
        <f t="shared" si="9"/>
        <v/>
      </c>
      <c r="V172" s="136"/>
      <c r="W172" s="137" t="str">
        <f t="shared" si="10"/>
        <v/>
      </c>
      <c r="X172" s="130" t="str">
        <f>IFERROR(_xlfn.XLOOKUP($A172,'Raw Data'!$G:$G,'Raw Data'!AI:AI),"")</f>
        <v/>
      </c>
      <c r="Y172" s="130" t="str">
        <f>IFERROR(_xlfn.XLOOKUP($A172,'Raw Data'!$G:$G,'Raw Data'!AJ:AJ),"")</f>
        <v/>
      </c>
      <c r="Z172" s="130" t="str">
        <f>IFERROR(_xlfn.XLOOKUP($A172,'Raw Data'!$G:$G,'Raw Data'!AK:AK),"")</f>
        <v/>
      </c>
      <c r="AA172" s="130" t="str">
        <f>IFERROR(_xlfn.XLOOKUP($A172,'Raw Data'!$G:$G,'Raw Data'!AL:AL),"")</f>
        <v/>
      </c>
      <c r="AB172" s="130" t="str">
        <f>IFERROR(_xlfn.XLOOKUP($A172,'Raw Data'!$G:$G,'Raw Data'!H:H),"")</f>
        <v/>
      </c>
      <c r="AC172" s="76">
        <f>IFERROR(_xlfn.XLOOKUP($D172,'Modelling New'!$D:$D,'Modelling New'!P:P),"")</f>
        <v>4.8466666666666667</v>
      </c>
      <c r="AD172" s="130">
        <f>IFERROR(_xlfn.XLOOKUP($D172,'Modelling New'!$D:$D,'Modelling New'!$T:$T)*1000,"")</f>
        <v>27099.030800071054</v>
      </c>
      <c r="AE172" s="138">
        <f>IFERROR(_xlfn.XLOOKUP($D172,'Modelling New'!$D:$D,'Modelling New'!O:O),"")</f>
        <v>0.69708783670793795</v>
      </c>
      <c r="AF172" s="137">
        <f>IFERROR(_xlfn.XLOOKUP($D172,'Modelling New'!$D:$D,'Modelling New'!W:W),"")</f>
        <v>0.14077301591296412</v>
      </c>
      <c r="AG172" s="137">
        <f>IFERROR(_xlfn.XLOOKUP($D172,'Modelling New'!$D:$D,'Modelling New'!AE:AE),"")</f>
        <v>0.98040000000000005</v>
      </c>
      <c r="AH172" s="156">
        <f>IFERROR(_xlfn.XLOOKUP($D172,'Modelling New'!$D:$D,'Modelling New'!AF:AF),"")</f>
        <v>0.98</v>
      </c>
      <c r="AN172" s="134"/>
      <c r="AO172" s="137"/>
      <c r="AP172" s="137"/>
      <c r="AQ172" s="137"/>
      <c r="AR172" s="130">
        <f>'Basic Data'!$B$98/1000</f>
        <v>8.0208999999999993</v>
      </c>
    </row>
    <row r="173" spans="1:44" x14ac:dyDescent="0.3">
      <c r="A173" s="129">
        <f t="shared" si="11"/>
        <v>45916</v>
      </c>
      <c r="B173" s="130">
        <f>YEAR(Table13[[#This Row],[Date]])+IF(MONTH(Table13[[#This Row],[Date]])&gt;=4,1,0)</f>
        <v>2026</v>
      </c>
      <c r="C173" s="7">
        <f>YEAR(Table13[[#This Row],[Date]])</f>
        <v>2025</v>
      </c>
      <c r="D173" s="131">
        <f>Table13[[#This Row],[Date]]-DAY(Table13[[#This Row],[Date]])+1</f>
        <v>45901</v>
      </c>
      <c r="E173" s="7">
        <f t="shared" si="8"/>
        <v>30</v>
      </c>
      <c r="F173" s="132" t="str">
        <f>IFERROR(_xlfn.XLOOKUP($A173,'Raw Data'!$G:$G,'Raw Data'!$AM:$AM),"")</f>
        <v/>
      </c>
      <c r="G173" s="133" t="str">
        <f>IFERROR(_xlfn.XLOOKUP($A173,'Raw Data'!$G:$G,'Raw Data'!$AB:$AB),"")</f>
        <v/>
      </c>
      <c r="H173" s="133"/>
      <c r="I173" s="133" t="str">
        <f>IFERROR(_xlfn.XLOOKUP($A173,'Raw Data'!$G:$G,'Raw Data'!$AC:$AC),"")</f>
        <v/>
      </c>
      <c r="J173" s="133"/>
      <c r="K173" s="133" t="str">
        <f>IFERROR(_xlfn.XLOOKUP($A173,'Raw Data'!$G:$G,'Raw Data'!AD:AD),"")</f>
        <v/>
      </c>
      <c r="L173" s="133" t="str">
        <f>IFERROR(_xlfn.XLOOKUP($A173,'Raw Data'!$G:$G,'Raw Data'!AE:AE),"")</f>
        <v/>
      </c>
      <c r="M173" s="133" t="str">
        <f>IFERROR(_xlfn.XLOOKUP($A173,'Raw Data'!$G:$G,'Raw Data'!AF:AF),"")</f>
        <v/>
      </c>
      <c r="N173" s="133" t="str">
        <f>IFERROR(_xlfn.XLOOKUP($A173,'Raw Data'!$G:$G,'Raw Data'!AG:AG),"")</f>
        <v/>
      </c>
      <c r="O173" s="134" t="str">
        <f>IFERROR(1-SUMIF('Plant BD'!$H:$H,$A173,'Plant BD'!$AE:$AE)/($AA173+SUMIF('Plant BD'!$H:$H,$A173,'Plant BD'!$AE:$AE)),"")</f>
        <v/>
      </c>
      <c r="P173" s="134"/>
      <c r="Q173" s="135"/>
      <c r="R173" s="134" t="str">
        <f>IFERROR(1-SUMIF('Grid BD'!$H:$H,$A173,'Grid BD'!$AD:$AD)/($AA173+SUMIF('Grid BD'!$H:$H,$A173,'Grid BD'!$AD:$AD)),"")</f>
        <v/>
      </c>
      <c r="T173" s="135"/>
      <c r="U173" s="136" t="str">
        <f t="shared" si="9"/>
        <v/>
      </c>
      <c r="V173" s="136"/>
      <c r="W173" s="137" t="str">
        <f t="shared" si="10"/>
        <v/>
      </c>
      <c r="X173" s="130" t="str">
        <f>IFERROR(_xlfn.XLOOKUP($A173,'Raw Data'!$G:$G,'Raw Data'!AI:AI),"")</f>
        <v/>
      </c>
      <c r="Y173" s="130" t="str">
        <f>IFERROR(_xlfn.XLOOKUP($A173,'Raw Data'!$G:$G,'Raw Data'!AJ:AJ),"")</f>
        <v/>
      </c>
      <c r="Z173" s="130" t="str">
        <f>IFERROR(_xlfn.XLOOKUP($A173,'Raw Data'!$G:$G,'Raw Data'!AK:AK),"")</f>
        <v/>
      </c>
      <c r="AA173" s="130" t="str">
        <f>IFERROR(_xlfn.XLOOKUP($A173,'Raw Data'!$G:$G,'Raw Data'!AL:AL),"")</f>
        <v/>
      </c>
      <c r="AB173" s="130" t="str">
        <f>IFERROR(_xlfn.XLOOKUP($A173,'Raw Data'!$G:$G,'Raw Data'!H:H),"")</f>
        <v/>
      </c>
      <c r="AC173" s="76">
        <f>IFERROR(_xlfn.XLOOKUP($D173,'Modelling New'!$D:$D,'Modelling New'!P:P),"")</f>
        <v>4.8466666666666667</v>
      </c>
      <c r="AD173" s="130">
        <f>IFERROR(_xlfn.XLOOKUP($D173,'Modelling New'!$D:$D,'Modelling New'!$T:$T)*1000,"")</f>
        <v>27099.030800071054</v>
      </c>
      <c r="AE173" s="138">
        <f>IFERROR(_xlfn.XLOOKUP($D173,'Modelling New'!$D:$D,'Modelling New'!O:O),"")</f>
        <v>0.69708783670793795</v>
      </c>
      <c r="AF173" s="137">
        <f>IFERROR(_xlfn.XLOOKUP($D173,'Modelling New'!$D:$D,'Modelling New'!W:W),"")</f>
        <v>0.14077301591296412</v>
      </c>
      <c r="AG173" s="137">
        <f>IFERROR(_xlfn.XLOOKUP($D173,'Modelling New'!$D:$D,'Modelling New'!AE:AE),"")</f>
        <v>0.98040000000000005</v>
      </c>
      <c r="AH173" s="156">
        <f>IFERROR(_xlfn.XLOOKUP($D173,'Modelling New'!$D:$D,'Modelling New'!AF:AF),"")</f>
        <v>0.98</v>
      </c>
      <c r="AN173" s="134"/>
      <c r="AO173" s="137"/>
      <c r="AP173" s="137"/>
      <c r="AQ173" s="137"/>
      <c r="AR173" s="130">
        <f>'Basic Data'!$B$98/1000</f>
        <v>8.0208999999999993</v>
      </c>
    </row>
    <row r="174" spans="1:44" x14ac:dyDescent="0.3">
      <c r="A174" s="129">
        <f t="shared" si="11"/>
        <v>45917</v>
      </c>
      <c r="B174" s="130">
        <f>YEAR(Table13[[#This Row],[Date]])+IF(MONTH(Table13[[#This Row],[Date]])&gt;=4,1,0)</f>
        <v>2026</v>
      </c>
      <c r="C174" s="7">
        <f>YEAR(Table13[[#This Row],[Date]])</f>
        <v>2025</v>
      </c>
      <c r="D174" s="131">
        <f>Table13[[#This Row],[Date]]-DAY(Table13[[#This Row],[Date]])+1</f>
        <v>45901</v>
      </c>
      <c r="E174" s="7">
        <f t="shared" si="8"/>
        <v>30</v>
      </c>
      <c r="F174" s="132" t="str">
        <f>IFERROR(_xlfn.XLOOKUP($A174,'Raw Data'!$G:$G,'Raw Data'!$AM:$AM),"")</f>
        <v/>
      </c>
      <c r="G174" s="133" t="str">
        <f>IFERROR(_xlfn.XLOOKUP($A174,'Raw Data'!$G:$G,'Raw Data'!$AB:$AB),"")</f>
        <v/>
      </c>
      <c r="H174" s="133"/>
      <c r="I174" s="133" t="str">
        <f>IFERROR(_xlfn.XLOOKUP($A174,'Raw Data'!$G:$G,'Raw Data'!$AC:$AC),"")</f>
        <v/>
      </c>
      <c r="J174" s="133"/>
      <c r="K174" s="133" t="str">
        <f>IFERROR(_xlfn.XLOOKUP($A174,'Raw Data'!$G:$G,'Raw Data'!AD:AD),"")</f>
        <v/>
      </c>
      <c r="L174" s="133" t="str">
        <f>IFERROR(_xlfn.XLOOKUP($A174,'Raw Data'!$G:$G,'Raw Data'!AE:AE),"")</f>
        <v/>
      </c>
      <c r="M174" s="133" t="str">
        <f>IFERROR(_xlfn.XLOOKUP($A174,'Raw Data'!$G:$G,'Raw Data'!AF:AF),"")</f>
        <v/>
      </c>
      <c r="N174" s="133" t="str">
        <f>IFERROR(_xlfn.XLOOKUP($A174,'Raw Data'!$G:$G,'Raw Data'!AG:AG),"")</f>
        <v/>
      </c>
      <c r="O174" s="134" t="str">
        <f>IFERROR(1-SUMIF('Plant BD'!$H:$H,$A174,'Plant BD'!$AE:$AE)/($AA174+SUMIF('Plant BD'!$H:$H,$A174,'Plant BD'!$AE:$AE)),"")</f>
        <v/>
      </c>
      <c r="P174" s="134"/>
      <c r="Q174" s="135"/>
      <c r="R174" s="134" t="str">
        <f>IFERROR(1-SUMIF('Grid BD'!$H:$H,$A174,'Grid BD'!$AD:$AD)/($AA174+SUMIF('Grid BD'!$H:$H,$A174,'Grid BD'!$AD:$AD)),"")</f>
        <v/>
      </c>
      <c r="T174" s="135"/>
      <c r="U174" s="136" t="str">
        <f t="shared" si="9"/>
        <v/>
      </c>
      <c r="V174" s="136"/>
      <c r="W174" s="137" t="str">
        <f t="shared" si="10"/>
        <v/>
      </c>
      <c r="X174" s="130" t="str">
        <f>IFERROR(_xlfn.XLOOKUP($A174,'Raw Data'!$G:$G,'Raw Data'!AI:AI),"")</f>
        <v/>
      </c>
      <c r="Y174" s="130" t="str">
        <f>IFERROR(_xlfn.XLOOKUP($A174,'Raw Data'!$G:$G,'Raw Data'!AJ:AJ),"")</f>
        <v/>
      </c>
      <c r="Z174" s="130" t="str">
        <f>IFERROR(_xlfn.XLOOKUP($A174,'Raw Data'!$G:$G,'Raw Data'!AK:AK),"")</f>
        <v/>
      </c>
      <c r="AA174" s="130" t="str">
        <f>IFERROR(_xlfn.XLOOKUP($A174,'Raw Data'!$G:$G,'Raw Data'!AL:AL),"")</f>
        <v/>
      </c>
      <c r="AB174" s="130" t="str">
        <f>IFERROR(_xlfn.XLOOKUP($A174,'Raw Data'!$G:$G,'Raw Data'!H:H),"")</f>
        <v/>
      </c>
      <c r="AC174" s="76">
        <f>IFERROR(_xlfn.XLOOKUP($D174,'Modelling New'!$D:$D,'Modelling New'!P:P),"")</f>
        <v>4.8466666666666667</v>
      </c>
      <c r="AD174" s="130">
        <f>IFERROR(_xlfn.XLOOKUP($D174,'Modelling New'!$D:$D,'Modelling New'!$T:$T)*1000,"")</f>
        <v>27099.030800071054</v>
      </c>
      <c r="AE174" s="138">
        <f>IFERROR(_xlfn.XLOOKUP($D174,'Modelling New'!$D:$D,'Modelling New'!O:O),"")</f>
        <v>0.69708783670793795</v>
      </c>
      <c r="AF174" s="137">
        <f>IFERROR(_xlfn.XLOOKUP($D174,'Modelling New'!$D:$D,'Modelling New'!W:W),"")</f>
        <v>0.14077301591296412</v>
      </c>
      <c r="AG174" s="137">
        <f>IFERROR(_xlfn.XLOOKUP($D174,'Modelling New'!$D:$D,'Modelling New'!AE:AE),"")</f>
        <v>0.98040000000000005</v>
      </c>
      <c r="AH174" s="156">
        <f>IFERROR(_xlfn.XLOOKUP($D174,'Modelling New'!$D:$D,'Modelling New'!AF:AF),"")</f>
        <v>0.98</v>
      </c>
      <c r="AN174" s="134"/>
      <c r="AO174" s="137"/>
      <c r="AP174" s="137"/>
      <c r="AQ174" s="137"/>
      <c r="AR174" s="130">
        <f>'Basic Data'!$B$98/1000</f>
        <v>8.0208999999999993</v>
      </c>
    </row>
    <row r="175" spans="1:44" x14ac:dyDescent="0.3">
      <c r="A175" s="129">
        <f t="shared" si="11"/>
        <v>45918</v>
      </c>
      <c r="B175" s="130">
        <f>YEAR(Table13[[#This Row],[Date]])+IF(MONTH(Table13[[#This Row],[Date]])&gt;=4,1,0)</f>
        <v>2026</v>
      </c>
      <c r="C175" s="7">
        <f>YEAR(Table13[[#This Row],[Date]])</f>
        <v>2025</v>
      </c>
      <c r="D175" s="131">
        <f>Table13[[#This Row],[Date]]-DAY(Table13[[#This Row],[Date]])+1</f>
        <v>45901</v>
      </c>
      <c r="E175" s="7">
        <f t="shared" si="8"/>
        <v>30</v>
      </c>
      <c r="F175" s="132" t="str">
        <f>IFERROR(_xlfn.XLOOKUP($A175,'Raw Data'!$G:$G,'Raw Data'!$AM:$AM),"")</f>
        <v/>
      </c>
      <c r="G175" s="133" t="str">
        <f>IFERROR(_xlfn.XLOOKUP($A175,'Raw Data'!$G:$G,'Raw Data'!$AB:$AB),"")</f>
        <v/>
      </c>
      <c r="H175" s="133"/>
      <c r="I175" s="133" t="str">
        <f>IFERROR(_xlfn.XLOOKUP($A175,'Raw Data'!$G:$G,'Raw Data'!$AC:$AC),"")</f>
        <v/>
      </c>
      <c r="J175" s="133"/>
      <c r="K175" s="133" t="str">
        <f>IFERROR(_xlfn.XLOOKUP($A175,'Raw Data'!$G:$G,'Raw Data'!AD:AD),"")</f>
        <v/>
      </c>
      <c r="L175" s="133" t="str">
        <f>IFERROR(_xlfn.XLOOKUP($A175,'Raw Data'!$G:$G,'Raw Data'!AE:AE),"")</f>
        <v/>
      </c>
      <c r="M175" s="133" t="str">
        <f>IFERROR(_xlfn.XLOOKUP($A175,'Raw Data'!$G:$G,'Raw Data'!AF:AF),"")</f>
        <v/>
      </c>
      <c r="N175" s="133" t="str">
        <f>IFERROR(_xlfn.XLOOKUP($A175,'Raw Data'!$G:$G,'Raw Data'!AG:AG),"")</f>
        <v/>
      </c>
      <c r="O175" s="134" t="str">
        <f>IFERROR(1-SUMIF('Plant BD'!$H:$H,$A175,'Plant BD'!$AE:$AE)/($AA175+SUMIF('Plant BD'!$H:$H,$A175,'Plant BD'!$AE:$AE)),"")</f>
        <v/>
      </c>
      <c r="P175" s="134"/>
      <c r="Q175" s="135"/>
      <c r="R175" s="134" t="str">
        <f>IFERROR(1-SUMIF('Grid BD'!$H:$H,$A175,'Grid BD'!$AD:$AD)/($AA175+SUMIF('Grid BD'!$H:$H,$A175,'Grid BD'!$AD:$AD)),"")</f>
        <v/>
      </c>
      <c r="T175" s="135"/>
      <c r="U175" s="136" t="str">
        <f t="shared" si="9"/>
        <v/>
      </c>
      <c r="V175" s="136"/>
      <c r="W175" s="137" t="str">
        <f t="shared" si="10"/>
        <v/>
      </c>
      <c r="X175" s="130" t="str">
        <f>IFERROR(_xlfn.XLOOKUP($A175,'Raw Data'!$G:$G,'Raw Data'!AI:AI),"")</f>
        <v/>
      </c>
      <c r="Y175" s="130" t="str">
        <f>IFERROR(_xlfn.XLOOKUP($A175,'Raw Data'!$G:$G,'Raw Data'!AJ:AJ),"")</f>
        <v/>
      </c>
      <c r="Z175" s="130" t="str">
        <f>IFERROR(_xlfn.XLOOKUP($A175,'Raw Data'!$G:$G,'Raw Data'!AK:AK),"")</f>
        <v/>
      </c>
      <c r="AA175" s="130" t="str">
        <f>IFERROR(_xlfn.XLOOKUP($A175,'Raw Data'!$G:$G,'Raw Data'!AL:AL),"")</f>
        <v/>
      </c>
      <c r="AB175" s="130" t="str">
        <f>IFERROR(_xlfn.XLOOKUP($A175,'Raw Data'!$G:$G,'Raw Data'!H:H),"")</f>
        <v/>
      </c>
      <c r="AC175" s="76">
        <f>IFERROR(_xlfn.XLOOKUP($D175,'Modelling New'!$D:$D,'Modelling New'!P:P),"")</f>
        <v>4.8466666666666667</v>
      </c>
      <c r="AD175" s="130">
        <f>IFERROR(_xlfn.XLOOKUP($D175,'Modelling New'!$D:$D,'Modelling New'!$T:$T)*1000,"")</f>
        <v>27099.030800071054</v>
      </c>
      <c r="AE175" s="138">
        <f>IFERROR(_xlfn.XLOOKUP($D175,'Modelling New'!$D:$D,'Modelling New'!O:O),"")</f>
        <v>0.69708783670793795</v>
      </c>
      <c r="AF175" s="137">
        <f>IFERROR(_xlfn.XLOOKUP($D175,'Modelling New'!$D:$D,'Modelling New'!W:W),"")</f>
        <v>0.14077301591296412</v>
      </c>
      <c r="AG175" s="137">
        <f>IFERROR(_xlfn.XLOOKUP($D175,'Modelling New'!$D:$D,'Modelling New'!AE:AE),"")</f>
        <v>0.98040000000000005</v>
      </c>
      <c r="AH175" s="156">
        <f>IFERROR(_xlfn.XLOOKUP($D175,'Modelling New'!$D:$D,'Modelling New'!AF:AF),"")</f>
        <v>0.98</v>
      </c>
      <c r="AN175" s="134"/>
      <c r="AO175" s="137"/>
      <c r="AP175" s="137"/>
      <c r="AQ175" s="137"/>
      <c r="AR175" s="130">
        <f>'Basic Data'!$B$98/1000</f>
        <v>8.0208999999999993</v>
      </c>
    </row>
    <row r="176" spans="1:44" x14ac:dyDescent="0.3">
      <c r="A176" s="129">
        <f t="shared" si="11"/>
        <v>45919</v>
      </c>
      <c r="B176" s="130">
        <f>YEAR(Table13[[#This Row],[Date]])+IF(MONTH(Table13[[#This Row],[Date]])&gt;=4,1,0)</f>
        <v>2026</v>
      </c>
      <c r="C176" s="7">
        <f>YEAR(Table13[[#This Row],[Date]])</f>
        <v>2025</v>
      </c>
      <c r="D176" s="131">
        <f>Table13[[#This Row],[Date]]-DAY(Table13[[#This Row],[Date]])+1</f>
        <v>45901</v>
      </c>
      <c r="E176" s="7">
        <f t="shared" si="8"/>
        <v>30</v>
      </c>
      <c r="F176" s="132" t="str">
        <f>IFERROR(_xlfn.XLOOKUP($A176,'Raw Data'!$G:$G,'Raw Data'!$AM:$AM),"")</f>
        <v/>
      </c>
      <c r="G176" s="133" t="str">
        <f>IFERROR(_xlfn.XLOOKUP($A176,'Raw Data'!$G:$G,'Raw Data'!$AB:$AB),"")</f>
        <v/>
      </c>
      <c r="H176" s="133"/>
      <c r="I176" s="133" t="str">
        <f>IFERROR(_xlfn.XLOOKUP($A176,'Raw Data'!$G:$G,'Raw Data'!$AC:$AC),"")</f>
        <v/>
      </c>
      <c r="J176" s="133"/>
      <c r="K176" s="133" t="str">
        <f>IFERROR(_xlfn.XLOOKUP($A176,'Raw Data'!$G:$G,'Raw Data'!AD:AD),"")</f>
        <v/>
      </c>
      <c r="L176" s="133" t="str">
        <f>IFERROR(_xlfn.XLOOKUP($A176,'Raw Data'!$G:$G,'Raw Data'!AE:AE),"")</f>
        <v/>
      </c>
      <c r="M176" s="133" t="str">
        <f>IFERROR(_xlfn.XLOOKUP($A176,'Raw Data'!$G:$G,'Raw Data'!AF:AF),"")</f>
        <v/>
      </c>
      <c r="N176" s="133" t="str">
        <f>IFERROR(_xlfn.XLOOKUP($A176,'Raw Data'!$G:$G,'Raw Data'!AG:AG),"")</f>
        <v/>
      </c>
      <c r="O176" s="134" t="str">
        <f>IFERROR(1-SUMIF('Plant BD'!$H:$H,$A176,'Plant BD'!$AE:$AE)/($AA176+SUMIF('Plant BD'!$H:$H,$A176,'Plant BD'!$AE:$AE)),"")</f>
        <v/>
      </c>
      <c r="P176" s="134"/>
      <c r="Q176" s="135"/>
      <c r="R176" s="134" t="str">
        <f>IFERROR(1-SUMIF('Grid BD'!$H:$H,$A176,'Grid BD'!$AD:$AD)/($AA176+SUMIF('Grid BD'!$H:$H,$A176,'Grid BD'!$AD:$AD)),"")</f>
        <v/>
      </c>
      <c r="T176" s="135"/>
      <c r="U176" s="136" t="str">
        <f t="shared" si="9"/>
        <v/>
      </c>
      <c r="V176" s="136"/>
      <c r="W176" s="137" t="str">
        <f t="shared" si="10"/>
        <v/>
      </c>
      <c r="X176" s="130" t="str">
        <f>IFERROR(_xlfn.XLOOKUP($A176,'Raw Data'!$G:$G,'Raw Data'!AI:AI),"")</f>
        <v/>
      </c>
      <c r="Y176" s="130" t="str">
        <f>IFERROR(_xlfn.XLOOKUP($A176,'Raw Data'!$G:$G,'Raw Data'!AJ:AJ),"")</f>
        <v/>
      </c>
      <c r="Z176" s="130" t="str">
        <f>IFERROR(_xlfn.XLOOKUP($A176,'Raw Data'!$G:$G,'Raw Data'!AK:AK),"")</f>
        <v/>
      </c>
      <c r="AA176" s="130" t="str">
        <f>IFERROR(_xlfn.XLOOKUP($A176,'Raw Data'!$G:$G,'Raw Data'!AL:AL),"")</f>
        <v/>
      </c>
      <c r="AB176" s="130" t="str">
        <f>IFERROR(_xlfn.XLOOKUP($A176,'Raw Data'!$G:$G,'Raw Data'!H:H),"")</f>
        <v/>
      </c>
      <c r="AC176" s="76">
        <f>IFERROR(_xlfn.XLOOKUP($D176,'Modelling New'!$D:$D,'Modelling New'!P:P),"")</f>
        <v>4.8466666666666667</v>
      </c>
      <c r="AD176" s="130">
        <f>IFERROR(_xlfn.XLOOKUP($D176,'Modelling New'!$D:$D,'Modelling New'!$T:$T)*1000,"")</f>
        <v>27099.030800071054</v>
      </c>
      <c r="AE176" s="138">
        <f>IFERROR(_xlfn.XLOOKUP($D176,'Modelling New'!$D:$D,'Modelling New'!O:O),"")</f>
        <v>0.69708783670793795</v>
      </c>
      <c r="AF176" s="137">
        <f>IFERROR(_xlfn.XLOOKUP($D176,'Modelling New'!$D:$D,'Modelling New'!W:W),"")</f>
        <v>0.14077301591296412</v>
      </c>
      <c r="AG176" s="137">
        <f>IFERROR(_xlfn.XLOOKUP($D176,'Modelling New'!$D:$D,'Modelling New'!AE:AE),"")</f>
        <v>0.98040000000000005</v>
      </c>
      <c r="AH176" s="156">
        <f>IFERROR(_xlfn.XLOOKUP($D176,'Modelling New'!$D:$D,'Modelling New'!AF:AF),"")</f>
        <v>0.98</v>
      </c>
      <c r="AN176" s="134"/>
      <c r="AO176" s="137"/>
      <c r="AP176" s="137"/>
      <c r="AQ176" s="137"/>
      <c r="AR176" s="130">
        <f>'Basic Data'!$B$98/1000</f>
        <v>8.0208999999999993</v>
      </c>
    </row>
    <row r="177" spans="1:44" x14ac:dyDescent="0.3">
      <c r="A177" s="129">
        <f t="shared" si="11"/>
        <v>45920</v>
      </c>
      <c r="B177" s="130">
        <f>YEAR(Table13[[#This Row],[Date]])+IF(MONTH(Table13[[#This Row],[Date]])&gt;=4,1,0)</f>
        <v>2026</v>
      </c>
      <c r="C177" s="7">
        <f>YEAR(Table13[[#This Row],[Date]])</f>
        <v>2025</v>
      </c>
      <c r="D177" s="131">
        <f>Table13[[#This Row],[Date]]-DAY(Table13[[#This Row],[Date]])+1</f>
        <v>45901</v>
      </c>
      <c r="E177" s="7">
        <f t="shared" si="8"/>
        <v>30</v>
      </c>
      <c r="F177" s="132" t="str">
        <f>IFERROR(_xlfn.XLOOKUP($A177,'Raw Data'!$G:$G,'Raw Data'!$AM:$AM),"")</f>
        <v/>
      </c>
      <c r="G177" s="133" t="str">
        <f>IFERROR(_xlfn.XLOOKUP($A177,'Raw Data'!$G:$G,'Raw Data'!$AB:$AB),"")</f>
        <v/>
      </c>
      <c r="H177" s="133"/>
      <c r="I177" s="133" t="str">
        <f>IFERROR(_xlfn.XLOOKUP($A177,'Raw Data'!$G:$G,'Raw Data'!$AC:$AC),"")</f>
        <v/>
      </c>
      <c r="J177" s="133"/>
      <c r="K177" s="133" t="str">
        <f>IFERROR(_xlfn.XLOOKUP($A177,'Raw Data'!$G:$G,'Raw Data'!AD:AD),"")</f>
        <v/>
      </c>
      <c r="L177" s="133" t="str">
        <f>IFERROR(_xlfn.XLOOKUP($A177,'Raw Data'!$G:$G,'Raw Data'!AE:AE),"")</f>
        <v/>
      </c>
      <c r="M177" s="133" t="str">
        <f>IFERROR(_xlfn.XLOOKUP($A177,'Raw Data'!$G:$G,'Raw Data'!AF:AF),"")</f>
        <v/>
      </c>
      <c r="N177" s="133" t="str">
        <f>IFERROR(_xlfn.XLOOKUP($A177,'Raw Data'!$G:$G,'Raw Data'!AG:AG),"")</f>
        <v/>
      </c>
      <c r="O177" s="134" t="str">
        <f>IFERROR(1-SUMIF('Plant BD'!$H:$H,$A177,'Plant BD'!$AE:$AE)/($AA177+SUMIF('Plant BD'!$H:$H,$A177,'Plant BD'!$AE:$AE)),"")</f>
        <v/>
      </c>
      <c r="P177" s="134"/>
      <c r="Q177" s="135"/>
      <c r="R177" s="134" t="str">
        <f>IFERROR(1-SUMIF('Grid BD'!$H:$H,$A177,'Grid BD'!$AD:$AD)/($AA177+SUMIF('Grid BD'!$H:$H,$A177,'Grid BD'!$AD:$AD)),"")</f>
        <v/>
      </c>
      <c r="T177" s="135"/>
      <c r="U177" s="136" t="str">
        <f t="shared" si="9"/>
        <v/>
      </c>
      <c r="V177" s="136"/>
      <c r="W177" s="137" t="str">
        <f t="shared" si="10"/>
        <v/>
      </c>
      <c r="X177" s="130" t="str">
        <f>IFERROR(_xlfn.XLOOKUP($A177,'Raw Data'!$G:$G,'Raw Data'!AI:AI),"")</f>
        <v/>
      </c>
      <c r="Y177" s="130" t="str">
        <f>IFERROR(_xlfn.XLOOKUP($A177,'Raw Data'!$G:$G,'Raw Data'!AJ:AJ),"")</f>
        <v/>
      </c>
      <c r="Z177" s="130" t="str">
        <f>IFERROR(_xlfn.XLOOKUP($A177,'Raw Data'!$G:$G,'Raw Data'!AK:AK),"")</f>
        <v/>
      </c>
      <c r="AA177" s="130" t="str">
        <f>IFERROR(_xlfn.XLOOKUP($A177,'Raw Data'!$G:$G,'Raw Data'!AL:AL),"")</f>
        <v/>
      </c>
      <c r="AB177" s="130" t="str">
        <f>IFERROR(_xlfn.XLOOKUP($A177,'Raw Data'!$G:$G,'Raw Data'!H:H),"")</f>
        <v/>
      </c>
      <c r="AC177" s="76">
        <f>IFERROR(_xlfn.XLOOKUP($D177,'Modelling New'!$D:$D,'Modelling New'!P:P),"")</f>
        <v>4.8466666666666667</v>
      </c>
      <c r="AD177" s="130">
        <f>IFERROR(_xlfn.XLOOKUP($D177,'Modelling New'!$D:$D,'Modelling New'!$T:$T)*1000,"")</f>
        <v>27099.030800071054</v>
      </c>
      <c r="AE177" s="138">
        <f>IFERROR(_xlfn.XLOOKUP($D177,'Modelling New'!$D:$D,'Modelling New'!O:O),"")</f>
        <v>0.69708783670793795</v>
      </c>
      <c r="AF177" s="137">
        <f>IFERROR(_xlfn.XLOOKUP($D177,'Modelling New'!$D:$D,'Modelling New'!W:W),"")</f>
        <v>0.14077301591296412</v>
      </c>
      <c r="AG177" s="137">
        <f>IFERROR(_xlfn.XLOOKUP($D177,'Modelling New'!$D:$D,'Modelling New'!AE:AE),"")</f>
        <v>0.98040000000000005</v>
      </c>
      <c r="AH177" s="156">
        <f>IFERROR(_xlfn.XLOOKUP($D177,'Modelling New'!$D:$D,'Modelling New'!AF:AF),"")</f>
        <v>0.98</v>
      </c>
      <c r="AN177" s="134"/>
      <c r="AO177" s="137"/>
      <c r="AP177" s="137"/>
      <c r="AQ177" s="137"/>
      <c r="AR177" s="130">
        <f>'Basic Data'!$B$98/1000</f>
        <v>8.0208999999999993</v>
      </c>
    </row>
    <row r="178" spans="1:44" x14ac:dyDescent="0.3">
      <c r="A178" s="129">
        <f t="shared" si="11"/>
        <v>45921</v>
      </c>
      <c r="B178" s="130">
        <f>YEAR(Table13[[#This Row],[Date]])+IF(MONTH(Table13[[#This Row],[Date]])&gt;=4,1,0)</f>
        <v>2026</v>
      </c>
      <c r="C178" s="7">
        <f>YEAR(Table13[[#This Row],[Date]])</f>
        <v>2025</v>
      </c>
      <c r="D178" s="131">
        <f>Table13[[#This Row],[Date]]-DAY(Table13[[#This Row],[Date]])+1</f>
        <v>45901</v>
      </c>
      <c r="E178" s="7">
        <f t="shared" si="8"/>
        <v>30</v>
      </c>
      <c r="F178" s="132" t="str">
        <f>IFERROR(_xlfn.XLOOKUP($A178,'Raw Data'!$G:$G,'Raw Data'!$AM:$AM),"")</f>
        <v/>
      </c>
      <c r="G178" s="133" t="str">
        <f>IFERROR(_xlfn.XLOOKUP($A178,'Raw Data'!$G:$G,'Raw Data'!$AB:$AB),"")</f>
        <v/>
      </c>
      <c r="H178" s="133"/>
      <c r="I178" s="133" t="str">
        <f>IFERROR(_xlfn.XLOOKUP($A178,'Raw Data'!$G:$G,'Raw Data'!$AC:$AC),"")</f>
        <v/>
      </c>
      <c r="J178" s="133"/>
      <c r="K178" s="133" t="str">
        <f>IFERROR(_xlfn.XLOOKUP($A178,'Raw Data'!$G:$G,'Raw Data'!AD:AD),"")</f>
        <v/>
      </c>
      <c r="L178" s="133" t="str">
        <f>IFERROR(_xlfn.XLOOKUP($A178,'Raw Data'!$G:$G,'Raw Data'!AE:AE),"")</f>
        <v/>
      </c>
      <c r="M178" s="133" t="str">
        <f>IFERROR(_xlfn.XLOOKUP($A178,'Raw Data'!$G:$G,'Raw Data'!AF:AF),"")</f>
        <v/>
      </c>
      <c r="N178" s="133" t="str">
        <f>IFERROR(_xlfn.XLOOKUP($A178,'Raw Data'!$G:$G,'Raw Data'!AG:AG),"")</f>
        <v/>
      </c>
      <c r="O178" s="134" t="str">
        <f>IFERROR(1-SUMIF('Plant BD'!$H:$H,$A178,'Plant BD'!$AE:$AE)/($AA178+SUMIF('Plant BD'!$H:$H,$A178,'Plant BD'!$AE:$AE)),"")</f>
        <v/>
      </c>
      <c r="P178" s="134"/>
      <c r="Q178" s="135"/>
      <c r="R178" s="134" t="str">
        <f>IFERROR(1-SUMIF('Grid BD'!$H:$H,$A178,'Grid BD'!$AD:$AD)/($AA178+SUMIF('Grid BD'!$H:$H,$A178,'Grid BD'!$AD:$AD)),"")</f>
        <v/>
      </c>
      <c r="T178" s="135"/>
      <c r="U178" s="136" t="str">
        <f t="shared" si="9"/>
        <v/>
      </c>
      <c r="V178" s="136"/>
      <c r="W178" s="137" t="str">
        <f t="shared" si="10"/>
        <v/>
      </c>
      <c r="X178" s="130" t="str">
        <f>IFERROR(_xlfn.XLOOKUP($A178,'Raw Data'!$G:$G,'Raw Data'!AI:AI),"")</f>
        <v/>
      </c>
      <c r="Y178" s="130" t="str">
        <f>IFERROR(_xlfn.XLOOKUP($A178,'Raw Data'!$G:$G,'Raw Data'!AJ:AJ),"")</f>
        <v/>
      </c>
      <c r="Z178" s="130" t="str">
        <f>IFERROR(_xlfn.XLOOKUP($A178,'Raw Data'!$G:$G,'Raw Data'!AK:AK),"")</f>
        <v/>
      </c>
      <c r="AA178" s="130" t="str">
        <f>IFERROR(_xlfn.XLOOKUP($A178,'Raw Data'!$G:$G,'Raw Data'!AL:AL),"")</f>
        <v/>
      </c>
      <c r="AB178" s="130" t="str">
        <f>IFERROR(_xlfn.XLOOKUP($A178,'Raw Data'!$G:$G,'Raw Data'!H:H),"")</f>
        <v/>
      </c>
      <c r="AC178" s="76">
        <f>IFERROR(_xlfn.XLOOKUP($D178,'Modelling New'!$D:$D,'Modelling New'!P:P),"")</f>
        <v>4.8466666666666667</v>
      </c>
      <c r="AD178" s="130">
        <f>IFERROR(_xlfn.XLOOKUP($D178,'Modelling New'!$D:$D,'Modelling New'!$T:$T)*1000,"")</f>
        <v>27099.030800071054</v>
      </c>
      <c r="AE178" s="138">
        <f>IFERROR(_xlfn.XLOOKUP($D178,'Modelling New'!$D:$D,'Modelling New'!O:O),"")</f>
        <v>0.69708783670793795</v>
      </c>
      <c r="AF178" s="137">
        <f>IFERROR(_xlfn.XLOOKUP($D178,'Modelling New'!$D:$D,'Modelling New'!W:W),"")</f>
        <v>0.14077301591296412</v>
      </c>
      <c r="AG178" s="137">
        <f>IFERROR(_xlfn.XLOOKUP($D178,'Modelling New'!$D:$D,'Modelling New'!AE:AE),"")</f>
        <v>0.98040000000000005</v>
      </c>
      <c r="AH178" s="156">
        <f>IFERROR(_xlfn.XLOOKUP($D178,'Modelling New'!$D:$D,'Modelling New'!AF:AF),"")</f>
        <v>0.98</v>
      </c>
      <c r="AN178" s="134"/>
      <c r="AO178" s="137"/>
      <c r="AP178" s="137"/>
      <c r="AQ178" s="137"/>
      <c r="AR178" s="130">
        <f>'Basic Data'!$B$98/1000</f>
        <v>8.0208999999999993</v>
      </c>
    </row>
    <row r="179" spans="1:44" x14ac:dyDescent="0.3">
      <c r="A179" s="129">
        <f t="shared" si="11"/>
        <v>45922</v>
      </c>
      <c r="B179" s="130">
        <f>YEAR(Table13[[#This Row],[Date]])+IF(MONTH(Table13[[#This Row],[Date]])&gt;=4,1,0)</f>
        <v>2026</v>
      </c>
      <c r="C179" s="7">
        <f>YEAR(Table13[[#This Row],[Date]])</f>
        <v>2025</v>
      </c>
      <c r="D179" s="131">
        <f>Table13[[#This Row],[Date]]-DAY(Table13[[#This Row],[Date]])+1</f>
        <v>45901</v>
      </c>
      <c r="E179" s="7">
        <f t="shared" si="8"/>
        <v>30</v>
      </c>
      <c r="F179" s="132" t="str">
        <f>IFERROR(_xlfn.XLOOKUP($A179,'Raw Data'!$G:$G,'Raw Data'!$AM:$AM),"")</f>
        <v/>
      </c>
      <c r="G179" s="133" t="str">
        <f>IFERROR(_xlfn.XLOOKUP($A179,'Raw Data'!$G:$G,'Raw Data'!$AB:$AB),"")</f>
        <v/>
      </c>
      <c r="H179" s="133"/>
      <c r="I179" s="133" t="str">
        <f>IFERROR(_xlfn.XLOOKUP($A179,'Raw Data'!$G:$G,'Raw Data'!$AC:$AC),"")</f>
        <v/>
      </c>
      <c r="J179" s="133"/>
      <c r="K179" s="133" t="str">
        <f>IFERROR(_xlfn.XLOOKUP($A179,'Raw Data'!$G:$G,'Raw Data'!AD:AD),"")</f>
        <v/>
      </c>
      <c r="L179" s="133" t="str">
        <f>IFERROR(_xlfn.XLOOKUP($A179,'Raw Data'!$G:$G,'Raw Data'!AE:AE),"")</f>
        <v/>
      </c>
      <c r="M179" s="133" t="str">
        <f>IFERROR(_xlfn.XLOOKUP($A179,'Raw Data'!$G:$G,'Raw Data'!AF:AF),"")</f>
        <v/>
      </c>
      <c r="N179" s="133" t="str">
        <f>IFERROR(_xlfn.XLOOKUP($A179,'Raw Data'!$G:$G,'Raw Data'!AG:AG),"")</f>
        <v/>
      </c>
      <c r="O179" s="134" t="str">
        <f>IFERROR(1-SUMIF('Plant BD'!$H:$H,$A179,'Plant BD'!$AE:$AE)/($AA179+SUMIF('Plant BD'!$H:$H,$A179,'Plant BD'!$AE:$AE)),"")</f>
        <v/>
      </c>
      <c r="P179" s="134"/>
      <c r="Q179" s="135"/>
      <c r="R179" s="134" t="str">
        <f>IFERROR(1-SUMIF('Grid BD'!$H:$H,$A179,'Grid BD'!$AD:$AD)/($AA179+SUMIF('Grid BD'!$H:$H,$A179,'Grid BD'!$AD:$AD)),"")</f>
        <v/>
      </c>
      <c r="T179" s="135"/>
      <c r="U179" s="136" t="str">
        <f t="shared" si="9"/>
        <v/>
      </c>
      <c r="V179" s="136"/>
      <c r="W179" s="137" t="str">
        <f t="shared" si="10"/>
        <v/>
      </c>
      <c r="X179" s="130" t="str">
        <f>IFERROR(_xlfn.XLOOKUP($A179,'Raw Data'!$G:$G,'Raw Data'!AI:AI),"")</f>
        <v/>
      </c>
      <c r="Y179" s="130" t="str">
        <f>IFERROR(_xlfn.XLOOKUP($A179,'Raw Data'!$G:$G,'Raw Data'!AJ:AJ),"")</f>
        <v/>
      </c>
      <c r="Z179" s="130" t="str">
        <f>IFERROR(_xlfn.XLOOKUP($A179,'Raw Data'!$G:$G,'Raw Data'!AK:AK),"")</f>
        <v/>
      </c>
      <c r="AA179" s="130" t="str">
        <f>IFERROR(_xlfn.XLOOKUP($A179,'Raw Data'!$G:$G,'Raw Data'!AL:AL),"")</f>
        <v/>
      </c>
      <c r="AB179" s="130" t="str">
        <f>IFERROR(_xlfn.XLOOKUP($A179,'Raw Data'!$G:$G,'Raw Data'!H:H),"")</f>
        <v/>
      </c>
      <c r="AC179" s="76">
        <f>IFERROR(_xlfn.XLOOKUP($D179,'Modelling New'!$D:$D,'Modelling New'!P:P),"")</f>
        <v>4.8466666666666667</v>
      </c>
      <c r="AD179" s="130">
        <f>IFERROR(_xlfn.XLOOKUP($D179,'Modelling New'!$D:$D,'Modelling New'!$T:$T)*1000,"")</f>
        <v>27099.030800071054</v>
      </c>
      <c r="AE179" s="138">
        <f>IFERROR(_xlfn.XLOOKUP($D179,'Modelling New'!$D:$D,'Modelling New'!O:O),"")</f>
        <v>0.69708783670793795</v>
      </c>
      <c r="AF179" s="137">
        <f>IFERROR(_xlfn.XLOOKUP($D179,'Modelling New'!$D:$D,'Modelling New'!W:W),"")</f>
        <v>0.14077301591296412</v>
      </c>
      <c r="AG179" s="137">
        <f>IFERROR(_xlfn.XLOOKUP($D179,'Modelling New'!$D:$D,'Modelling New'!AE:AE),"")</f>
        <v>0.98040000000000005</v>
      </c>
      <c r="AH179" s="156">
        <f>IFERROR(_xlfn.XLOOKUP($D179,'Modelling New'!$D:$D,'Modelling New'!AF:AF),"")</f>
        <v>0.98</v>
      </c>
      <c r="AN179" s="134"/>
      <c r="AO179" s="137"/>
      <c r="AP179" s="137"/>
      <c r="AQ179" s="137"/>
      <c r="AR179" s="130">
        <f>'Basic Data'!$B$98/1000</f>
        <v>8.0208999999999993</v>
      </c>
    </row>
    <row r="180" spans="1:44" x14ac:dyDescent="0.3">
      <c r="A180" s="129">
        <f t="shared" si="11"/>
        <v>45923</v>
      </c>
      <c r="B180" s="130">
        <f>YEAR(Table13[[#This Row],[Date]])+IF(MONTH(Table13[[#This Row],[Date]])&gt;=4,1,0)</f>
        <v>2026</v>
      </c>
      <c r="C180" s="7">
        <f>YEAR(Table13[[#This Row],[Date]])</f>
        <v>2025</v>
      </c>
      <c r="D180" s="131">
        <f>Table13[[#This Row],[Date]]-DAY(Table13[[#This Row],[Date]])+1</f>
        <v>45901</v>
      </c>
      <c r="E180" s="7">
        <f t="shared" si="8"/>
        <v>30</v>
      </c>
      <c r="F180" s="132" t="str">
        <f>IFERROR(_xlfn.XLOOKUP($A180,'Raw Data'!$G:$G,'Raw Data'!$AM:$AM),"")</f>
        <v/>
      </c>
      <c r="G180" s="133" t="str">
        <f>IFERROR(_xlfn.XLOOKUP($A180,'Raw Data'!$G:$G,'Raw Data'!$AB:$AB),"")</f>
        <v/>
      </c>
      <c r="H180" s="133"/>
      <c r="I180" s="133" t="str">
        <f>IFERROR(_xlfn.XLOOKUP($A180,'Raw Data'!$G:$G,'Raw Data'!$AC:$AC),"")</f>
        <v/>
      </c>
      <c r="J180" s="133"/>
      <c r="K180" s="133" t="str">
        <f>IFERROR(_xlfn.XLOOKUP($A180,'Raw Data'!$G:$G,'Raw Data'!AD:AD),"")</f>
        <v/>
      </c>
      <c r="L180" s="133" t="str">
        <f>IFERROR(_xlfn.XLOOKUP($A180,'Raw Data'!$G:$G,'Raw Data'!AE:AE),"")</f>
        <v/>
      </c>
      <c r="M180" s="133" t="str">
        <f>IFERROR(_xlfn.XLOOKUP($A180,'Raw Data'!$G:$G,'Raw Data'!AF:AF),"")</f>
        <v/>
      </c>
      <c r="N180" s="133" t="str">
        <f>IFERROR(_xlfn.XLOOKUP($A180,'Raw Data'!$G:$G,'Raw Data'!AG:AG),"")</f>
        <v/>
      </c>
      <c r="O180" s="134" t="str">
        <f>IFERROR(1-SUMIF('Plant BD'!$H:$H,$A180,'Plant BD'!$AE:$AE)/($AA180+SUMIF('Plant BD'!$H:$H,$A180,'Plant BD'!$AE:$AE)),"")</f>
        <v/>
      </c>
      <c r="P180" s="134"/>
      <c r="Q180" s="135"/>
      <c r="R180" s="134" t="str">
        <f>IFERROR(1-SUMIF('Grid BD'!$H:$H,$A180,'Grid BD'!$AD:$AD)/($AA180+SUMIF('Grid BD'!$H:$H,$A180,'Grid BD'!$AD:$AD)),"")</f>
        <v/>
      </c>
      <c r="T180" s="135"/>
      <c r="U180" s="136" t="str">
        <f t="shared" si="9"/>
        <v/>
      </c>
      <c r="V180" s="136"/>
      <c r="W180" s="137" t="str">
        <f t="shared" si="10"/>
        <v/>
      </c>
      <c r="X180" s="130" t="str">
        <f>IFERROR(_xlfn.XLOOKUP($A180,'Raw Data'!$G:$G,'Raw Data'!AI:AI),"")</f>
        <v/>
      </c>
      <c r="Y180" s="130" t="str">
        <f>IFERROR(_xlfn.XLOOKUP($A180,'Raw Data'!$G:$G,'Raw Data'!AJ:AJ),"")</f>
        <v/>
      </c>
      <c r="Z180" s="130" t="str">
        <f>IFERROR(_xlfn.XLOOKUP($A180,'Raw Data'!$G:$G,'Raw Data'!AK:AK),"")</f>
        <v/>
      </c>
      <c r="AA180" s="130" t="str">
        <f>IFERROR(_xlfn.XLOOKUP($A180,'Raw Data'!$G:$G,'Raw Data'!AL:AL),"")</f>
        <v/>
      </c>
      <c r="AB180" s="130" t="str">
        <f>IFERROR(_xlfn.XLOOKUP($A180,'Raw Data'!$G:$G,'Raw Data'!H:H),"")</f>
        <v/>
      </c>
      <c r="AC180" s="76">
        <f>IFERROR(_xlfn.XLOOKUP($D180,'Modelling New'!$D:$D,'Modelling New'!P:P),"")</f>
        <v>4.8466666666666667</v>
      </c>
      <c r="AD180" s="130">
        <f>IFERROR(_xlfn.XLOOKUP($D180,'Modelling New'!$D:$D,'Modelling New'!$T:$T)*1000,"")</f>
        <v>27099.030800071054</v>
      </c>
      <c r="AE180" s="138">
        <f>IFERROR(_xlfn.XLOOKUP($D180,'Modelling New'!$D:$D,'Modelling New'!O:O),"")</f>
        <v>0.69708783670793795</v>
      </c>
      <c r="AF180" s="137">
        <f>IFERROR(_xlfn.XLOOKUP($D180,'Modelling New'!$D:$D,'Modelling New'!W:W),"")</f>
        <v>0.14077301591296412</v>
      </c>
      <c r="AG180" s="137">
        <f>IFERROR(_xlfn.XLOOKUP($D180,'Modelling New'!$D:$D,'Modelling New'!AE:AE),"")</f>
        <v>0.98040000000000005</v>
      </c>
      <c r="AH180" s="156">
        <f>IFERROR(_xlfn.XLOOKUP($D180,'Modelling New'!$D:$D,'Modelling New'!AF:AF),"")</f>
        <v>0.98</v>
      </c>
      <c r="AN180" s="134"/>
      <c r="AO180" s="137"/>
      <c r="AP180" s="137"/>
      <c r="AQ180" s="137"/>
      <c r="AR180" s="130">
        <f>'Basic Data'!$B$98/1000</f>
        <v>8.0208999999999993</v>
      </c>
    </row>
    <row r="181" spans="1:44" x14ac:dyDescent="0.3">
      <c r="A181" s="129">
        <f t="shared" si="11"/>
        <v>45924</v>
      </c>
      <c r="B181" s="130">
        <f>YEAR(Table13[[#This Row],[Date]])+IF(MONTH(Table13[[#This Row],[Date]])&gt;=4,1,0)</f>
        <v>2026</v>
      </c>
      <c r="C181" s="7">
        <f>YEAR(Table13[[#This Row],[Date]])</f>
        <v>2025</v>
      </c>
      <c r="D181" s="131">
        <f>Table13[[#This Row],[Date]]-DAY(Table13[[#This Row],[Date]])+1</f>
        <v>45901</v>
      </c>
      <c r="E181" s="7">
        <f t="shared" ref="E181:E244" si="12">DAY(EOMONTH(A181,0))</f>
        <v>30</v>
      </c>
      <c r="F181" s="132" t="str">
        <f>IFERROR(_xlfn.XLOOKUP($A181,'Raw Data'!$G:$G,'Raw Data'!$AM:$AM),"")</f>
        <v/>
      </c>
      <c r="G181" s="133" t="str">
        <f>IFERROR(_xlfn.XLOOKUP($A181,'Raw Data'!$G:$G,'Raw Data'!$AB:$AB),"")</f>
        <v/>
      </c>
      <c r="H181" s="133"/>
      <c r="I181" s="133" t="str">
        <f>IFERROR(_xlfn.XLOOKUP($A181,'Raw Data'!$G:$G,'Raw Data'!$AC:$AC),"")</f>
        <v/>
      </c>
      <c r="J181" s="133"/>
      <c r="K181" s="133" t="str">
        <f>IFERROR(_xlfn.XLOOKUP($A181,'Raw Data'!$G:$G,'Raw Data'!AD:AD),"")</f>
        <v/>
      </c>
      <c r="L181" s="133" t="str">
        <f>IFERROR(_xlfn.XLOOKUP($A181,'Raw Data'!$G:$G,'Raw Data'!AE:AE),"")</f>
        <v/>
      </c>
      <c r="M181" s="133" t="str">
        <f>IFERROR(_xlfn.XLOOKUP($A181,'Raw Data'!$G:$G,'Raw Data'!AF:AF),"")</f>
        <v/>
      </c>
      <c r="N181" s="133" t="str">
        <f>IFERROR(_xlfn.XLOOKUP($A181,'Raw Data'!$G:$G,'Raw Data'!AG:AG),"")</f>
        <v/>
      </c>
      <c r="O181" s="134" t="str">
        <f>IFERROR(1-SUMIF('Plant BD'!$H:$H,$A181,'Plant BD'!$AE:$AE)/($AA181+SUMIF('Plant BD'!$H:$H,$A181,'Plant BD'!$AE:$AE)),"")</f>
        <v/>
      </c>
      <c r="P181" s="134"/>
      <c r="Q181" s="135"/>
      <c r="R181" s="134" t="str">
        <f>IFERROR(1-SUMIF('Grid BD'!$H:$H,$A181,'Grid BD'!$AD:$AD)/($AA181+SUMIF('Grid BD'!$H:$H,$A181,'Grid BD'!$AD:$AD)),"")</f>
        <v/>
      </c>
      <c r="T181" s="135"/>
      <c r="U181" s="136" t="str">
        <f t="shared" ref="U181:U244" si="13">IFERROR(AA181/I181/AB181/1000,"")</f>
        <v/>
      </c>
      <c r="V181" s="136"/>
      <c r="W181" s="137" t="str">
        <f t="shared" ref="W181:W244" si="14">IFERROR(AA181/(24*AB181*1000),"")</f>
        <v/>
      </c>
      <c r="X181" s="130" t="str">
        <f>IFERROR(_xlfn.XLOOKUP($A181,'Raw Data'!$G:$G,'Raw Data'!AI:AI),"")</f>
        <v/>
      </c>
      <c r="Y181" s="130" t="str">
        <f>IFERROR(_xlfn.XLOOKUP($A181,'Raw Data'!$G:$G,'Raw Data'!AJ:AJ),"")</f>
        <v/>
      </c>
      <c r="Z181" s="130" t="str">
        <f>IFERROR(_xlfn.XLOOKUP($A181,'Raw Data'!$G:$G,'Raw Data'!AK:AK),"")</f>
        <v/>
      </c>
      <c r="AA181" s="130" t="str">
        <f>IFERROR(_xlfn.XLOOKUP($A181,'Raw Data'!$G:$G,'Raw Data'!AL:AL),"")</f>
        <v/>
      </c>
      <c r="AB181" s="130" t="str">
        <f>IFERROR(_xlfn.XLOOKUP($A181,'Raw Data'!$G:$G,'Raw Data'!H:H),"")</f>
        <v/>
      </c>
      <c r="AC181" s="76">
        <f>IFERROR(_xlfn.XLOOKUP($D181,'Modelling New'!$D:$D,'Modelling New'!P:P),"")</f>
        <v>4.8466666666666667</v>
      </c>
      <c r="AD181" s="130">
        <f>IFERROR(_xlfn.XLOOKUP($D181,'Modelling New'!$D:$D,'Modelling New'!$T:$T)*1000,"")</f>
        <v>27099.030800071054</v>
      </c>
      <c r="AE181" s="138">
        <f>IFERROR(_xlfn.XLOOKUP($D181,'Modelling New'!$D:$D,'Modelling New'!O:O),"")</f>
        <v>0.69708783670793795</v>
      </c>
      <c r="AF181" s="137">
        <f>IFERROR(_xlfn.XLOOKUP($D181,'Modelling New'!$D:$D,'Modelling New'!W:W),"")</f>
        <v>0.14077301591296412</v>
      </c>
      <c r="AG181" s="137">
        <f>IFERROR(_xlfn.XLOOKUP($D181,'Modelling New'!$D:$D,'Modelling New'!AE:AE),"")</f>
        <v>0.98040000000000005</v>
      </c>
      <c r="AH181" s="156">
        <f>IFERROR(_xlfn.XLOOKUP($D181,'Modelling New'!$D:$D,'Modelling New'!AF:AF),"")</f>
        <v>0.98</v>
      </c>
      <c r="AN181" s="134"/>
      <c r="AO181" s="137"/>
      <c r="AP181" s="137"/>
      <c r="AQ181" s="137"/>
      <c r="AR181" s="130">
        <f>'Basic Data'!$B$98/1000</f>
        <v>8.0208999999999993</v>
      </c>
    </row>
    <row r="182" spans="1:44" x14ac:dyDescent="0.3">
      <c r="A182" s="129">
        <f t="shared" ref="A182:A245" si="15">A181+1</f>
        <v>45925</v>
      </c>
      <c r="B182" s="130">
        <f>YEAR(Table13[[#This Row],[Date]])+IF(MONTH(Table13[[#This Row],[Date]])&gt;=4,1,0)</f>
        <v>2026</v>
      </c>
      <c r="C182" s="7">
        <f>YEAR(Table13[[#This Row],[Date]])</f>
        <v>2025</v>
      </c>
      <c r="D182" s="131">
        <f>Table13[[#This Row],[Date]]-DAY(Table13[[#This Row],[Date]])+1</f>
        <v>45901</v>
      </c>
      <c r="E182" s="7">
        <f t="shared" si="12"/>
        <v>30</v>
      </c>
      <c r="F182" s="132" t="str">
        <f>IFERROR(_xlfn.XLOOKUP($A182,'Raw Data'!$G:$G,'Raw Data'!$AM:$AM),"")</f>
        <v/>
      </c>
      <c r="G182" s="133" t="str">
        <f>IFERROR(_xlfn.XLOOKUP($A182,'Raw Data'!$G:$G,'Raw Data'!$AB:$AB),"")</f>
        <v/>
      </c>
      <c r="H182" s="133"/>
      <c r="I182" s="133" t="str">
        <f>IFERROR(_xlfn.XLOOKUP($A182,'Raw Data'!$G:$G,'Raw Data'!$AC:$AC),"")</f>
        <v/>
      </c>
      <c r="J182" s="133"/>
      <c r="K182" s="133" t="str">
        <f>IFERROR(_xlfn.XLOOKUP($A182,'Raw Data'!$G:$G,'Raw Data'!AD:AD),"")</f>
        <v/>
      </c>
      <c r="L182" s="133" t="str">
        <f>IFERROR(_xlfn.XLOOKUP($A182,'Raw Data'!$G:$G,'Raw Data'!AE:AE),"")</f>
        <v/>
      </c>
      <c r="M182" s="133" t="str">
        <f>IFERROR(_xlfn.XLOOKUP($A182,'Raw Data'!$G:$G,'Raw Data'!AF:AF),"")</f>
        <v/>
      </c>
      <c r="N182" s="133" t="str">
        <f>IFERROR(_xlfn.XLOOKUP($A182,'Raw Data'!$G:$G,'Raw Data'!AG:AG),"")</f>
        <v/>
      </c>
      <c r="O182" s="134" t="str">
        <f>IFERROR(1-SUMIF('Plant BD'!$H:$H,$A182,'Plant BD'!$AE:$AE)/($AA182+SUMIF('Plant BD'!$H:$H,$A182,'Plant BD'!$AE:$AE)),"")</f>
        <v/>
      </c>
      <c r="P182" s="134"/>
      <c r="Q182" s="135"/>
      <c r="R182" s="134" t="str">
        <f>IFERROR(1-SUMIF('Grid BD'!$H:$H,$A182,'Grid BD'!$AD:$AD)/($AA182+SUMIF('Grid BD'!$H:$H,$A182,'Grid BD'!$AD:$AD)),"")</f>
        <v/>
      </c>
      <c r="T182" s="135"/>
      <c r="U182" s="136" t="str">
        <f t="shared" si="13"/>
        <v/>
      </c>
      <c r="V182" s="136"/>
      <c r="W182" s="137" t="str">
        <f t="shared" si="14"/>
        <v/>
      </c>
      <c r="X182" s="130" t="str">
        <f>IFERROR(_xlfn.XLOOKUP($A182,'Raw Data'!$G:$G,'Raw Data'!AI:AI),"")</f>
        <v/>
      </c>
      <c r="Y182" s="130" t="str">
        <f>IFERROR(_xlfn.XLOOKUP($A182,'Raw Data'!$G:$G,'Raw Data'!AJ:AJ),"")</f>
        <v/>
      </c>
      <c r="Z182" s="130" t="str">
        <f>IFERROR(_xlfn.XLOOKUP($A182,'Raw Data'!$G:$G,'Raw Data'!AK:AK),"")</f>
        <v/>
      </c>
      <c r="AA182" s="130" t="str">
        <f>IFERROR(_xlfn.XLOOKUP($A182,'Raw Data'!$G:$G,'Raw Data'!AL:AL),"")</f>
        <v/>
      </c>
      <c r="AB182" s="130" t="str">
        <f>IFERROR(_xlfn.XLOOKUP($A182,'Raw Data'!$G:$G,'Raw Data'!H:H),"")</f>
        <v/>
      </c>
      <c r="AC182" s="76">
        <f>IFERROR(_xlfn.XLOOKUP($D182,'Modelling New'!$D:$D,'Modelling New'!P:P),"")</f>
        <v>4.8466666666666667</v>
      </c>
      <c r="AD182" s="130">
        <f>IFERROR(_xlfn.XLOOKUP($D182,'Modelling New'!$D:$D,'Modelling New'!$T:$T)*1000,"")</f>
        <v>27099.030800071054</v>
      </c>
      <c r="AE182" s="138">
        <f>IFERROR(_xlfn.XLOOKUP($D182,'Modelling New'!$D:$D,'Modelling New'!O:O),"")</f>
        <v>0.69708783670793795</v>
      </c>
      <c r="AF182" s="137">
        <f>IFERROR(_xlfn.XLOOKUP($D182,'Modelling New'!$D:$D,'Modelling New'!W:W),"")</f>
        <v>0.14077301591296412</v>
      </c>
      <c r="AG182" s="137">
        <f>IFERROR(_xlfn.XLOOKUP($D182,'Modelling New'!$D:$D,'Modelling New'!AE:AE),"")</f>
        <v>0.98040000000000005</v>
      </c>
      <c r="AH182" s="156">
        <f>IFERROR(_xlfn.XLOOKUP($D182,'Modelling New'!$D:$D,'Modelling New'!AF:AF),"")</f>
        <v>0.98</v>
      </c>
      <c r="AN182" s="134"/>
      <c r="AO182" s="137"/>
      <c r="AP182" s="137"/>
      <c r="AQ182" s="137"/>
      <c r="AR182" s="130">
        <f>'Basic Data'!$B$98/1000</f>
        <v>8.0208999999999993</v>
      </c>
    </row>
    <row r="183" spans="1:44" x14ac:dyDescent="0.3">
      <c r="A183" s="129">
        <f t="shared" si="15"/>
        <v>45926</v>
      </c>
      <c r="B183" s="130">
        <f>YEAR(Table13[[#This Row],[Date]])+IF(MONTH(Table13[[#This Row],[Date]])&gt;=4,1,0)</f>
        <v>2026</v>
      </c>
      <c r="C183" s="7">
        <f>YEAR(Table13[[#This Row],[Date]])</f>
        <v>2025</v>
      </c>
      <c r="D183" s="131">
        <f>Table13[[#This Row],[Date]]-DAY(Table13[[#This Row],[Date]])+1</f>
        <v>45901</v>
      </c>
      <c r="E183" s="7">
        <f t="shared" si="12"/>
        <v>30</v>
      </c>
      <c r="F183" s="132" t="str">
        <f>IFERROR(_xlfn.XLOOKUP($A183,'Raw Data'!$G:$G,'Raw Data'!$AM:$AM),"")</f>
        <v/>
      </c>
      <c r="G183" s="133" t="str">
        <f>IFERROR(_xlfn.XLOOKUP($A183,'Raw Data'!$G:$G,'Raw Data'!$AB:$AB),"")</f>
        <v/>
      </c>
      <c r="H183" s="133"/>
      <c r="I183" s="133" t="str">
        <f>IFERROR(_xlfn.XLOOKUP($A183,'Raw Data'!$G:$G,'Raw Data'!$AC:$AC),"")</f>
        <v/>
      </c>
      <c r="J183" s="133"/>
      <c r="K183" s="133" t="str">
        <f>IFERROR(_xlfn.XLOOKUP($A183,'Raw Data'!$G:$G,'Raw Data'!AD:AD),"")</f>
        <v/>
      </c>
      <c r="L183" s="133" t="str">
        <f>IFERROR(_xlfn.XLOOKUP($A183,'Raw Data'!$G:$G,'Raw Data'!AE:AE),"")</f>
        <v/>
      </c>
      <c r="M183" s="133" t="str">
        <f>IFERROR(_xlfn.XLOOKUP($A183,'Raw Data'!$G:$G,'Raw Data'!AF:AF),"")</f>
        <v/>
      </c>
      <c r="N183" s="133" t="str">
        <f>IFERROR(_xlfn.XLOOKUP($A183,'Raw Data'!$G:$G,'Raw Data'!AG:AG),"")</f>
        <v/>
      </c>
      <c r="O183" s="134" t="str">
        <f>IFERROR(1-SUMIF('Plant BD'!$H:$H,$A183,'Plant BD'!$AE:$AE)/($AA183+SUMIF('Plant BD'!$H:$H,$A183,'Plant BD'!$AE:$AE)),"")</f>
        <v/>
      </c>
      <c r="P183" s="134"/>
      <c r="Q183" s="135"/>
      <c r="R183" s="134" t="str">
        <f>IFERROR(1-SUMIF('Grid BD'!$H:$H,$A183,'Grid BD'!$AD:$AD)/($AA183+SUMIF('Grid BD'!$H:$H,$A183,'Grid BD'!$AD:$AD)),"")</f>
        <v/>
      </c>
      <c r="T183" s="135"/>
      <c r="U183" s="136" t="str">
        <f t="shared" si="13"/>
        <v/>
      </c>
      <c r="V183" s="136"/>
      <c r="W183" s="137" t="str">
        <f t="shared" si="14"/>
        <v/>
      </c>
      <c r="X183" s="130" t="str">
        <f>IFERROR(_xlfn.XLOOKUP($A183,'Raw Data'!$G:$G,'Raw Data'!AI:AI),"")</f>
        <v/>
      </c>
      <c r="Y183" s="130" t="str">
        <f>IFERROR(_xlfn.XLOOKUP($A183,'Raw Data'!$G:$G,'Raw Data'!AJ:AJ),"")</f>
        <v/>
      </c>
      <c r="Z183" s="130" t="str">
        <f>IFERROR(_xlfn.XLOOKUP($A183,'Raw Data'!$G:$G,'Raw Data'!AK:AK),"")</f>
        <v/>
      </c>
      <c r="AA183" s="130" t="str">
        <f>IFERROR(_xlfn.XLOOKUP($A183,'Raw Data'!$G:$G,'Raw Data'!AL:AL),"")</f>
        <v/>
      </c>
      <c r="AB183" s="130" t="str">
        <f>IFERROR(_xlfn.XLOOKUP($A183,'Raw Data'!$G:$G,'Raw Data'!H:H),"")</f>
        <v/>
      </c>
      <c r="AC183" s="76">
        <f>IFERROR(_xlfn.XLOOKUP($D183,'Modelling New'!$D:$D,'Modelling New'!P:P),"")</f>
        <v>4.8466666666666667</v>
      </c>
      <c r="AD183" s="130">
        <f>IFERROR(_xlfn.XLOOKUP($D183,'Modelling New'!$D:$D,'Modelling New'!$T:$T)*1000,"")</f>
        <v>27099.030800071054</v>
      </c>
      <c r="AE183" s="138">
        <f>IFERROR(_xlfn.XLOOKUP($D183,'Modelling New'!$D:$D,'Modelling New'!O:O),"")</f>
        <v>0.69708783670793795</v>
      </c>
      <c r="AF183" s="137">
        <f>IFERROR(_xlfn.XLOOKUP($D183,'Modelling New'!$D:$D,'Modelling New'!W:W),"")</f>
        <v>0.14077301591296412</v>
      </c>
      <c r="AG183" s="137">
        <f>IFERROR(_xlfn.XLOOKUP($D183,'Modelling New'!$D:$D,'Modelling New'!AE:AE),"")</f>
        <v>0.98040000000000005</v>
      </c>
      <c r="AH183" s="156">
        <f>IFERROR(_xlfn.XLOOKUP($D183,'Modelling New'!$D:$D,'Modelling New'!AF:AF),"")</f>
        <v>0.98</v>
      </c>
      <c r="AN183" s="134"/>
      <c r="AO183" s="137"/>
      <c r="AP183" s="137"/>
      <c r="AQ183" s="137"/>
      <c r="AR183" s="130">
        <f>'Basic Data'!$B$98/1000</f>
        <v>8.0208999999999993</v>
      </c>
    </row>
    <row r="184" spans="1:44" x14ac:dyDescent="0.3">
      <c r="A184" s="129">
        <f t="shared" si="15"/>
        <v>45927</v>
      </c>
      <c r="B184" s="130">
        <f>YEAR(Table13[[#This Row],[Date]])+IF(MONTH(Table13[[#This Row],[Date]])&gt;=4,1,0)</f>
        <v>2026</v>
      </c>
      <c r="C184" s="7">
        <f>YEAR(Table13[[#This Row],[Date]])</f>
        <v>2025</v>
      </c>
      <c r="D184" s="131">
        <f>Table13[[#This Row],[Date]]-DAY(Table13[[#This Row],[Date]])+1</f>
        <v>45901</v>
      </c>
      <c r="E184" s="7">
        <f t="shared" si="12"/>
        <v>30</v>
      </c>
      <c r="F184" s="132" t="str">
        <f>IFERROR(_xlfn.XLOOKUP($A184,'Raw Data'!$G:$G,'Raw Data'!$AM:$AM),"")</f>
        <v/>
      </c>
      <c r="G184" s="133" t="str">
        <f>IFERROR(_xlfn.XLOOKUP($A184,'Raw Data'!$G:$G,'Raw Data'!$AB:$AB),"")</f>
        <v/>
      </c>
      <c r="H184" s="133"/>
      <c r="I184" s="133" t="str">
        <f>IFERROR(_xlfn.XLOOKUP($A184,'Raw Data'!$G:$G,'Raw Data'!$AC:$AC),"")</f>
        <v/>
      </c>
      <c r="J184" s="133"/>
      <c r="K184" s="133" t="str">
        <f>IFERROR(_xlfn.XLOOKUP($A184,'Raw Data'!$G:$G,'Raw Data'!AD:AD),"")</f>
        <v/>
      </c>
      <c r="L184" s="133" t="str">
        <f>IFERROR(_xlfn.XLOOKUP($A184,'Raw Data'!$G:$G,'Raw Data'!AE:AE),"")</f>
        <v/>
      </c>
      <c r="M184" s="133" t="str">
        <f>IFERROR(_xlfn.XLOOKUP($A184,'Raw Data'!$G:$G,'Raw Data'!AF:AF),"")</f>
        <v/>
      </c>
      <c r="N184" s="133" t="str">
        <f>IFERROR(_xlfn.XLOOKUP($A184,'Raw Data'!$G:$G,'Raw Data'!AG:AG),"")</f>
        <v/>
      </c>
      <c r="O184" s="134" t="str">
        <f>IFERROR(1-SUMIF('Plant BD'!$H:$H,$A184,'Plant BD'!$AE:$AE)/($AA184+SUMIF('Plant BD'!$H:$H,$A184,'Plant BD'!$AE:$AE)),"")</f>
        <v/>
      </c>
      <c r="P184" s="134"/>
      <c r="Q184" s="135"/>
      <c r="R184" s="134" t="str">
        <f>IFERROR(1-SUMIF('Grid BD'!$H:$H,$A184,'Grid BD'!$AD:$AD)/($AA184+SUMIF('Grid BD'!$H:$H,$A184,'Grid BD'!$AD:$AD)),"")</f>
        <v/>
      </c>
      <c r="T184" s="135"/>
      <c r="U184" s="136" t="str">
        <f t="shared" si="13"/>
        <v/>
      </c>
      <c r="V184" s="136"/>
      <c r="W184" s="137" t="str">
        <f t="shared" si="14"/>
        <v/>
      </c>
      <c r="X184" s="130" t="str">
        <f>IFERROR(_xlfn.XLOOKUP($A184,'Raw Data'!$G:$G,'Raw Data'!AI:AI),"")</f>
        <v/>
      </c>
      <c r="Y184" s="130" t="str">
        <f>IFERROR(_xlfn.XLOOKUP($A184,'Raw Data'!$G:$G,'Raw Data'!AJ:AJ),"")</f>
        <v/>
      </c>
      <c r="Z184" s="130" t="str">
        <f>IFERROR(_xlfn.XLOOKUP($A184,'Raw Data'!$G:$G,'Raw Data'!AK:AK),"")</f>
        <v/>
      </c>
      <c r="AA184" s="130" t="str">
        <f>IFERROR(_xlfn.XLOOKUP($A184,'Raw Data'!$G:$G,'Raw Data'!AL:AL),"")</f>
        <v/>
      </c>
      <c r="AB184" s="130" t="str">
        <f>IFERROR(_xlfn.XLOOKUP($A184,'Raw Data'!$G:$G,'Raw Data'!H:H),"")</f>
        <v/>
      </c>
      <c r="AC184" s="76">
        <f>IFERROR(_xlfn.XLOOKUP($D184,'Modelling New'!$D:$D,'Modelling New'!P:P),"")</f>
        <v>4.8466666666666667</v>
      </c>
      <c r="AD184" s="130">
        <f>IFERROR(_xlfn.XLOOKUP($D184,'Modelling New'!$D:$D,'Modelling New'!$T:$T)*1000,"")</f>
        <v>27099.030800071054</v>
      </c>
      <c r="AE184" s="138">
        <f>IFERROR(_xlfn.XLOOKUP($D184,'Modelling New'!$D:$D,'Modelling New'!O:O),"")</f>
        <v>0.69708783670793795</v>
      </c>
      <c r="AF184" s="137">
        <f>IFERROR(_xlfn.XLOOKUP($D184,'Modelling New'!$D:$D,'Modelling New'!W:W),"")</f>
        <v>0.14077301591296412</v>
      </c>
      <c r="AG184" s="137">
        <f>IFERROR(_xlfn.XLOOKUP($D184,'Modelling New'!$D:$D,'Modelling New'!AE:AE),"")</f>
        <v>0.98040000000000005</v>
      </c>
      <c r="AH184" s="156">
        <f>IFERROR(_xlfn.XLOOKUP($D184,'Modelling New'!$D:$D,'Modelling New'!AF:AF),"")</f>
        <v>0.98</v>
      </c>
      <c r="AN184" s="134"/>
      <c r="AO184" s="137"/>
      <c r="AP184" s="137"/>
      <c r="AQ184" s="137"/>
      <c r="AR184" s="130">
        <f>'Basic Data'!$B$98/1000</f>
        <v>8.0208999999999993</v>
      </c>
    </row>
    <row r="185" spans="1:44" x14ac:dyDescent="0.3">
      <c r="A185" s="129">
        <f t="shared" si="15"/>
        <v>45928</v>
      </c>
      <c r="B185" s="130">
        <f>YEAR(Table13[[#This Row],[Date]])+IF(MONTH(Table13[[#This Row],[Date]])&gt;=4,1,0)</f>
        <v>2026</v>
      </c>
      <c r="C185" s="7">
        <f>YEAR(Table13[[#This Row],[Date]])</f>
        <v>2025</v>
      </c>
      <c r="D185" s="131">
        <f>Table13[[#This Row],[Date]]-DAY(Table13[[#This Row],[Date]])+1</f>
        <v>45901</v>
      </c>
      <c r="E185" s="7">
        <f t="shared" si="12"/>
        <v>30</v>
      </c>
      <c r="F185" s="132" t="str">
        <f>IFERROR(_xlfn.XLOOKUP($A185,'Raw Data'!$G:$G,'Raw Data'!$AM:$AM),"")</f>
        <v/>
      </c>
      <c r="G185" s="133" t="str">
        <f>IFERROR(_xlfn.XLOOKUP($A185,'Raw Data'!$G:$G,'Raw Data'!$AB:$AB),"")</f>
        <v/>
      </c>
      <c r="H185" s="133"/>
      <c r="I185" s="133" t="str">
        <f>IFERROR(_xlfn.XLOOKUP($A185,'Raw Data'!$G:$G,'Raw Data'!$AC:$AC),"")</f>
        <v/>
      </c>
      <c r="J185" s="133"/>
      <c r="K185" s="133" t="str">
        <f>IFERROR(_xlfn.XLOOKUP($A185,'Raw Data'!$G:$G,'Raw Data'!AD:AD),"")</f>
        <v/>
      </c>
      <c r="L185" s="133" t="str">
        <f>IFERROR(_xlfn.XLOOKUP($A185,'Raw Data'!$G:$G,'Raw Data'!AE:AE),"")</f>
        <v/>
      </c>
      <c r="M185" s="133" t="str">
        <f>IFERROR(_xlfn.XLOOKUP($A185,'Raw Data'!$G:$G,'Raw Data'!AF:AF),"")</f>
        <v/>
      </c>
      <c r="N185" s="133" t="str">
        <f>IFERROR(_xlfn.XLOOKUP($A185,'Raw Data'!$G:$G,'Raw Data'!AG:AG),"")</f>
        <v/>
      </c>
      <c r="O185" s="134" t="str">
        <f>IFERROR(1-SUMIF('Plant BD'!$H:$H,$A185,'Plant BD'!$AE:$AE)/($AA185+SUMIF('Plant BD'!$H:$H,$A185,'Plant BD'!$AE:$AE)),"")</f>
        <v/>
      </c>
      <c r="P185" s="134"/>
      <c r="Q185" s="135"/>
      <c r="R185" s="134" t="str">
        <f>IFERROR(1-SUMIF('Grid BD'!$H:$H,$A185,'Grid BD'!$AD:$AD)/($AA185+SUMIF('Grid BD'!$H:$H,$A185,'Grid BD'!$AD:$AD)),"")</f>
        <v/>
      </c>
      <c r="T185" s="135"/>
      <c r="U185" s="136" t="str">
        <f t="shared" si="13"/>
        <v/>
      </c>
      <c r="V185" s="136"/>
      <c r="W185" s="137" t="str">
        <f t="shared" si="14"/>
        <v/>
      </c>
      <c r="X185" s="130" t="str">
        <f>IFERROR(_xlfn.XLOOKUP($A185,'Raw Data'!$G:$G,'Raw Data'!AI:AI),"")</f>
        <v/>
      </c>
      <c r="Y185" s="130" t="str">
        <f>IFERROR(_xlfn.XLOOKUP($A185,'Raw Data'!$G:$G,'Raw Data'!AJ:AJ),"")</f>
        <v/>
      </c>
      <c r="Z185" s="130" t="str">
        <f>IFERROR(_xlfn.XLOOKUP($A185,'Raw Data'!$G:$G,'Raw Data'!AK:AK),"")</f>
        <v/>
      </c>
      <c r="AA185" s="130" t="str">
        <f>IFERROR(_xlfn.XLOOKUP($A185,'Raw Data'!$G:$G,'Raw Data'!AL:AL),"")</f>
        <v/>
      </c>
      <c r="AB185" s="130" t="str">
        <f>IFERROR(_xlfn.XLOOKUP($A185,'Raw Data'!$G:$G,'Raw Data'!H:H),"")</f>
        <v/>
      </c>
      <c r="AC185" s="76">
        <f>IFERROR(_xlfn.XLOOKUP($D185,'Modelling New'!$D:$D,'Modelling New'!P:P),"")</f>
        <v>4.8466666666666667</v>
      </c>
      <c r="AD185" s="130">
        <f>IFERROR(_xlfn.XLOOKUP($D185,'Modelling New'!$D:$D,'Modelling New'!$T:$T)*1000,"")</f>
        <v>27099.030800071054</v>
      </c>
      <c r="AE185" s="138">
        <f>IFERROR(_xlfn.XLOOKUP($D185,'Modelling New'!$D:$D,'Modelling New'!O:O),"")</f>
        <v>0.69708783670793795</v>
      </c>
      <c r="AF185" s="137">
        <f>IFERROR(_xlfn.XLOOKUP($D185,'Modelling New'!$D:$D,'Modelling New'!W:W),"")</f>
        <v>0.14077301591296412</v>
      </c>
      <c r="AG185" s="137">
        <f>IFERROR(_xlfn.XLOOKUP($D185,'Modelling New'!$D:$D,'Modelling New'!AE:AE),"")</f>
        <v>0.98040000000000005</v>
      </c>
      <c r="AH185" s="156">
        <f>IFERROR(_xlfn.XLOOKUP($D185,'Modelling New'!$D:$D,'Modelling New'!AF:AF),"")</f>
        <v>0.98</v>
      </c>
      <c r="AN185" s="134"/>
      <c r="AO185" s="137"/>
      <c r="AP185" s="137"/>
      <c r="AQ185" s="137"/>
      <c r="AR185" s="130">
        <f>'Basic Data'!$B$98/1000</f>
        <v>8.0208999999999993</v>
      </c>
    </row>
    <row r="186" spans="1:44" x14ac:dyDescent="0.3">
      <c r="A186" s="129">
        <f t="shared" si="15"/>
        <v>45929</v>
      </c>
      <c r="B186" s="130">
        <f>YEAR(Table13[[#This Row],[Date]])+IF(MONTH(Table13[[#This Row],[Date]])&gt;=4,1,0)</f>
        <v>2026</v>
      </c>
      <c r="C186" s="7">
        <f>YEAR(Table13[[#This Row],[Date]])</f>
        <v>2025</v>
      </c>
      <c r="D186" s="131">
        <f>Table13[[#This Row],[Date]]-DAY(Table13[[#This Row],[Date]])+1</f>
        <v>45901</v>
      </c>
      <c r="E186" s="7">
        <f t="shared" si="12"/>
        <v>30</v>
      </c>
      <c r="F186" s="132" t="str">
        <f>IFERROR(_xlfn.XLOOKUP($A186,'Raw Data'!$G:$G,'Raw Data'!$AM:$AM),"")</f>
        <v/>
      </c>
      <c r="G186" s="133" t="str">
        <f>IFERROR(_xlfn.XLOOKUP($A186,'Raw Data'!$G:$G,'Raw Data'!$AB:$AB),"")</f>
        <v/>
      </c>
      <c r="H186" s="133"/>
      <c r="I186" s="133" t="str">
        <f>IFERROR(_xlfn.XLOOKUP($A186,'Raw Data'!$G:$G,'Raw Data'!$AC:$AC),"")</f>
        <v/>
      </c>
      <c r="J186" s="133"/>
      <c r="K186" s="133" t="str">
        <f>IFERROR(_xlfn.XLOOKUP($A186,'Raw Data'!$G:$G,'Raw Data'!AD:AD),"")</f>
        <v/>
      </c>
      <c r="L186" s="133" t="str">
        <f>IFERROR(_xlfn.XLOOKUP($A186,'Raw Data'!$G:$G,'Raw Data'!AE:AE),"")</f>
        <v/>
      </c>
      <c r="M186" s="133" t="str">
        <f>IFERROR(_xlfn.XLOOKUP($A186,'Raw Data'!$G:$G,'Raw Data'!AF:AF),"")</f>
        <v/>
      </c>
      <c r="N186" s="133" t="str">
        <f>IFERROR(_xlfn.XLOOKUP($A186,'Raw Data'!$G:$G,'Raw Data'!AG:AG),"")</f>
        <v/>
      </c>
      <c r="O186" s="134" t="str">
        <f>IFERROR(1-SUMIF('Plant BD'!$H:$H,$A186,'Plant BD'!$AE:$AE)/($AA186+SUMIF('Plant BD'!$H:$H,$A186,'Plant BD'!$AE:$AE)),"")</f>
        <v/>
      </c>
      <c r="P186" s="134"/>
      <c r="Q186" s="135"/>
      <c r="R186" s="134" t="str">
        <f>IFERROR(1-SUMIF('Grid BD'!$H:$H,$A186,'Grid BD'!$AD:$AD)/($AA186+SUMIF('Grid BD'!$H:$H,$A186,'Grid BD'!$AD:$AD)),"")</f>
        <v/>
      </c>
      <c r="T186" s="135"/>
      <c r="U186" s="136" t="str">
        <f t="shared" si="13"/>
        <v/>
      </c>
      <c r="V186" s="136"/>
      <c r="W186" s="137" t="str">
        <f t="shared" si="14"/>
        <v/>
      </c>
      <c r="X186" s="130" t="str">
        <f>IFERROR(_xlfn.XLOOKUP($A186,'Raw Data'!$G:$G,'Raw Data'!AI:AI),"")</f>
        <v/>
      </c>
      <c r="Y186" s="130" t="str">
        <f>IFERROR(_xlfn.XLOOKUP($A186,'Raw Data'!$G:$G,'Raw Data'!AJ:AJ),"")</f>
        <v/>
      </c>
      <c r="Z186" s="130" t="str">
        <f>IFERROR(_xlfn.XLOOKUP($A186,'Raw Data'!$G:$G,'Raw Data'!AK:AK),"")</f>
        <v/>
      </c>
      <c r="AA186" s="130" t="str">
        <f>IFERROR(_xlfn.XLOOKUP($A186,'Raw Data'!$G:$G,'Raw Data'!AL:AL),"")</f>
        <v/>
      </c>
      <c r="AB186" s="130" t="str">
        <f>IFERROR(_xlfn.XLOOKUP($A186,'Raw Data'!$G:$G,'Raw Data'!H:H),"")</f>
        <v/>
      </c>
      <c r="AC186" s="76">
        <f>IFERROR(_xlfn.XLOOKUP($D186,'Modelling New'!$D:$D,'Modelling New'!P:P),"")</f>
        <v>4.8466666666666667</v>
      </c>
      <c r="AD186" s="130">
        <f>IFERROR(_xlfn.XLOOKUP($D186,'Modelling New'!$D:$D,'Modelling New'!$T:$T)*1000,"")</f>
        <v>27099.030800071054</v>
      </c>
      <c r="AE186" s="138">
        <f>IFERROR(_xlfn.XLOOKUP($D186,'Modelling New'!$D:$D,'Modelling New'!O:O),"")</f>
        <v>0.69708783670793795</v>
      </c>
      <c r="AF186" s="137">
        <f>IFERROR(_xlfn.XLOOKUP($D186,'Modelling New'!$D:$D,'Modelling New'!W:W),"")</f>
        <v>0.14077301591296412</v>
      </c>
      <c r="AG186" s="137">
        <f>IFERROR(_xlfn.XLOOKUP($D186,'Modelling New'!$D:$D,'Modelling New'!AE:AE),"")</f>
        <v>0.98040000000000005</v>
      </c>
      <c r="AH186" s="156">
        <f>IFERROR(_xlfn.XLOOKUP($D186,'Modelling New'!$D:$D,'Modelling New'!AF:AF),"")</f>
        <v>0.98</v>
      </c>
      <c r="AN186" s="134"/>
      <c r="AO186" s="137"/>
      <c r="AP186" s="137"/>
      <c r="AQ186" s="137"/>
      <c r="AR186" s="130">
        <f>'Basic Data'!$B$98/1000</f>
        <v>8.0208999999999993</v>
      </c>
    </row>
    <row r="187" spans="1:44" x14ac:dyDescent="0.3">
      <c r="A187" s="129">
        <f t="shared" si="15"/>
        <v>45930</v>
      </c>
      <c r="B187" s="130">
        <f>YEAR(Table13[[#This Row],[Date]])+IF(MONTH(Table13[[#This Row],[Date]])&gt;=4,1,0)</f>
        <v>2026</v>
      </c>
      <c r="C187" s="7">
        <f>YEAR(Table13[[#This Row],[Date]])</f>
        <v>2025</v>
      </c>
      <c r="D187" s="131">
        <f>Table13[[#This Row],[Date]]-DAY(Table13[[#This Row],[Date]])+1</f>
        <v>45901</v>
      </c>
      <c r="E187" s="7">
        <f t="shared" si="12"/>
        <v>30</v>
      </c>
      <c r="F187" s="132" t="str">
        <f>IFERROR(_xlfn.XLOOKUP($A187,'Raw Data'!$G:$G,'Raw Data'!$AM:$AM),"")</f>
        <v/>
      </c>
      <c r="G187" s="133" t="str">
        <f>IFERROR(_xlfn.XLOOKUP($A187,'Raw Data'!$G:$G,'Raw Data'!$AB:$AB),"")</f>
        <v/>
      </c>
      <c r="H187" s="133"/>
      <c r="I187" s="133" t="str">
        <f>IFERROR(_xlfn.XLOOKUP($A187,'Raw Data'!$G:$G,'Raw Data'!$AC:$AC),"")</f>
        <v/>
      </c>
      <c r="J187" s="133"/>
      <c r="K187" s="133" t="str">
        <f>IFERROR(_xlfn.XLOOKUP($A187,'Raw Data'!$G:$G,'Raw Data'!AD:AD),"")</f>
        <v/>
      </c>
      <c r="L187" s="133" t="str">
        <f>IFERROR(_xlfn.XLOOKUP($A187,'Raw Data'!$G:$G,'Raw Data'!AE:AE),"")</f>
        <v/>
      </c>
      <c r="M187" s="133" t="str">
        <f>IFERROR(_xlfn.XLOOKUP($A187,'Raw Data'!$G:$G,'Raw Data'!AF:AF),"")</f>
        <v/>
      </c>
      <c r="N187" s="133" t="str">
        <f>IFERROR(_xlfn.XLOOKUP($A187,'Raw Data'!$G:$G,'Raw Data'!AG:AG),"")</f>
        <v/>
      </c>
      <c r="O187" s="134" t="str">
        <f>IFERROR(1-SUMIF('Plant BD'!$H:$H,$A187,'Plant BD'!$AE:$AE)/($AA187+SUMIF('Plant BD'!$H:$H,$A187,'Plant BD'!$AE:$AE)),"")</f>
        <v/>
      </c>
      <c r="P187" s="134"/>
      <c r="Q187" s="135"/>
      <c r="R187" s="134" t="str">
        <f>IFERROR(1-SUMIF('Grid BD'!$H:$H,$A187,'Grid BD'!$AD:$AD)/($AA187+SUMIF('Grid BD'!$H:$H,$A187,'Grid BD'!$AD:$AD)),"")</f>
        <v/>
      </c>
      <c r="T187" s="135"/>
      <c r="U187" s="136" t="str">
        <f t="shared" si="13"/>
        <v/>
      </c>
      <c r="V187" s="136"/>
      <c r="W187" s="137" t="str">
        <f t="shared" si="14"/>
        <v/>
      </c>
      <c r="X187" s="130" t="str">
        <f>IFERROR(_xlfn.XLOOKUP($A187,'Raw Data'!$G:$G,'Raw Data'!AI:AI),"")</f>
        <v/>
      </c>
      <c r="Y187" s="130" t="str">
        <f>IFERROR(_xlfn.XLOOKUP($A187,'Raw Data'!$G:$G,'Raw Data'!AJ:AJ),"")</f>
        <v/>
      </c>
      <c r="Z187" s="130" t="str">
        <f>IFERROR(_xlfn.XLOOKUP($A187,'Raw Data'!$G:$G,'Raw Data'!AK:AK),"")</f>
        <v/>
      </c>
      <c r="AA187" s="130" t="str">
        <f>IFERROR(_xlfn.XLOOKUP($A187,'Raw Data'!$G:$G,'Raw Data'!AL:AL),"")</f>
        <v/>
      </c>
      <c r="AB187" s="130" t="str">
        <f>IFERROR(_xlfn.XLOOKUP($A187,'Raw Data'!$G:$G,'Raw Data'!H:H),"")</f>
        <v/>
      </c>
      <c r="AC187" s="76">
        <f>IFERROR(_xlfn.XLOOKUP($D187,'Modelling New'!$D:$D,'Modelling New'!P:P),"")</f>
        <v>4.8466666666666667</v>
      </c>
      <c r="AD187" s="130">
        <f>IFERROR(_xlfn.XLOOKUP($D187,'Modelling New'!$D:$D,'Modelling New'!$T:$T)*1000,"")</f>
        <v>27099.030800071054</v>
      </c>
      <c r="AE187" s="138">
        <f>IFERROR(_xlfn.XLOOKUP($D187,'Modelling New'!$D:$D,'Modelling New'!O:O),"")</f>
        <v>0.69708783670793795</v>
      </c>
      <c r="AF187" s="137">
        <f>IFERROR(_xlfn.XLOOKUP($D187,'Modelling New'!$D:$D,'Modelling New'!W:W),"")</f>
        <v>0.14077301591296412</v>
      </c>
      <c r="AG187" s="137">
        <f>IFERROR(_xlfn.XLOOKUP($D187,'Modelling New'!$D:$D,'Modelling New'!AE:AE),"")</f>
        <v>0.98040000000000005</v>
      </c>
      <c r="AH187" s="156">
        <f>IFERROR(_xlfn.XLOOKUP($D187,'Modelling New'!$D:$D,'Modelling New'!AF:AF),"")</f>
        <v>0.98</v>
      </c>
      <c r="AN187" s="134"/>
      <c r="AO187" s="137"/>
      <c r="AP187" s="137"/>
      <c r="AQ187" s="137"/>
      <c r="AR187" s="130">
        <f>'Basic Data'!$B$98/1000</f>
        <v>8.0208999999999993</v>
      </c>
    </row>
    <row r="188" spans="1:44" x14ac:dyDescent="0.3">
      <c r="A188" s="129">
        <f t="shared" si="15"/>
        <v>45931</v>
      </c>
      <c r="B188" s="130">
        <f>YEAR(Table13[[#This Row],[Date]])+IF(MONTH(Table13[[#This Row],[Date]])&gt;=4,1,0)</f>
        <v>2026</v>
      </c>
      <c r="C188" s="7">
        <f>YEAR(Table13[[#This Row],[Date]])</f>
        <v>2025</v>
      </c>
      <c r="D188" s="131">
        <f>Table13[[#This Row],[Date]]-DAY(Table13[[#This Row],[Date]])+1</f>
        <v>45931</v>
      </c>
      <c r="E188" s="7">
        <f t="shared" si="12"/>
        <v>31</v>
      </c>
      <c r="F188" s="132" t="str">
        <f>IFERROR(_xlfn.XLOOKUP($A188,'Raw Data'!$G:$G,'Raw Data'!$AM:$AM),"")</f>
        <v/>
      </c>
      <c r="G188" s="133" t="str">
        <f>IFERROR(_xlfn.XLOOKUP($A188,'Raw Data'!$G:$G,'Raw Data'!$AB:$AB),"")</f>
        <v/>
      </c>
      <c r="H188" s="133"/>
      <c r="I188" s="133" t="str">
        <f>IFERROR(_xlfn.XLOOKUP($A188,'Raw Data'!$G:$G,'Raw Data'!$AC:$AC),"")</f>
        <v/>
      </c>
      <c r="J188" s="133"/>
      <c r="K188" s="133" t="str">
        <f>IFERROR(_xlfn.XLOOKUP($A188,'Raw Data'!$G:$G,'Raw Data'!AD:AD),"")</f>
        <v/>
      </c>
      <c r="L188" s="133" t="str">
        <f>IFERROR(_xlfn.XLOOKUP($A188,'Raw Data'!$G:$G,'Raw Data'!AE:AE),"")</f>
        <v/>
      </c>
      <c r="M188" s="133" t="str">
        <f>IFERROR(_xlfn.XLOOKUP($A188,'Raw Data'!$G:$G,'Raw Data'!AF:AF),"")</f>
        <v/>
      </c>
      <c r="N188" s="133" t="str">
        <f>IFERROR(_xlfn.XLOOKUP($A188,'Raw Data'!$G:$G,'Raw Data'!AG:AG),"")</f>
        <v/>
      </c>
      <c r="O188" s="134" t="str">
        <f>IFERROR(1-SUMIF('Plant BD'!$H:$H,$A188,'Plant BD'!$AE:$AE)/($AA188+SUMIF('Plant BD'!$H:$H,$A188,'Plant BD'!$AE:$AE)),"")</f>
        <v/>
      </c>
      <c r="P188" s="134"/>
      <c r="Q188" s="135"/>
      <c r="R188" s="134" t="str">
        <f>IFERROR(1-SUMIF('Grid BD'!$H:$H,$A188,'Grid BD'!$AD:$AD)/($AA188+SUMIF('Grid BD'!$H:$H,$A188,'Grid BD'!$AD:$AD)),"")</f>
        <v/>
      </c>
      <c r="T188" s="135"/>
      <c r="U188" s="136" t="str">
        <f t="shared" si="13"/>
        <v/>
      </c>
      <c r="V188" s="136"/>
      <c r="W188" s="137" t="str">
        <f t="shared" si="14"/>
        <v/>
      </c>
      <c r="X188" s="130" t="str">
        <f>IFERROR(_xlfn.XLOOKUP($A188,'Raw Data'!$G:$G,'Raw Data'!AI:AI),"")</f>
        <v/>
      </c>
      <c r="Y188" s="130" t="str">
        <f>IFERROR(_xlfn.XLOOKUP($A188,'Raw Data'!$G:$G,'Raw Data'!AJ:AJ),"")</f>
        <v/>
      </c>
      <c r="Z188" s="130" t="str">
        <f>IFERROR(_xlfn.XLOOKUP($A188,'Raw Data'!$G:$G,'Raw Data'!AK:AK),"")</f>
        <v/>
      </c>
      <c r="AA188" s="130" t="str">
        <f>IFERROR(_xlfn.XLOOKUP($A188,'Raw Data'!$G:$G,'Raw Data'!AL:AL),"")</f>
        <v/>
      </c>
      <c r="AB188" s="130" t="str">
        <f>IFERROR(_xlfn.XLOOKUP($A188,'Raw Data'!$G:$G,'Raw Data'!H:H),"")</f>
        <v/>
      </c>
      <c r="AC188" s="76">
        <f>IFERROR(_xlfn.XLOOKUP($D188,'Modelling New'!$D:$D,'Modelling New'!P:P),"")</f>
        <v>5.1225806451612907</v>
      </c>
      <c r="AD188" s="130">
        <f>IFERROR(_xlfn.XLOOKUP($D188,'Modelling New'!$D:$D,'Modelling New'!$T:$T)*1000,"")</f>
        <v>29797.679316907321</v>
      </c>
      <c r="AE188" s="138">
        <f>IFERROR(_xlfn.XLOOKUP($D188,'Modelling New'!$D:$D,'Modelling New'!O:O),"")</f>
        <v>0.72522127474099773</v>
      </c>
      <c r="AF188" s="137">
        <f>IFERROR(_xlfn.XLOOKUP($D188,'Modelling New'!$D:$D,'Modelling New'!W:W),"")</f>
        <v>0.1547918527269764</v>
      </c>
      <c r="AG188" s="137">
        <f>IFERROR(_xlfn.XLOOKUP($D188,'Modelling New'!$D:$D,'Modelling New'!AE:AE),"")</f>
        <v>0.98040000000000005</v>
      </c>
      <c r="AH188" s="156">
        <f>IFERROR(_xlfn.XLOOKUP($D188,'Modelling New'!$D:$D,'Modelling New'!AF:AF),"")</f>
        <v>0.98</v>
      </c>
      <c r="AN188" s="134"/>
      <c r="AO188" s="137"/>
      <c r="AP188" s="137"/>
      <c r="AQ188" s="137"/>
      <c r="AR188" s="130">
        <f>'Basic Data'!$B$98/1000</f>
        <v>8.0208999999999993</v>
      </c>
    </row>
    <row r="189" spans="1:44" x14ac:dyDescent="0.3">
      <c r="A189" s="129">
        <f t="shared" si="15"/>
        <v>45932</v>
      </c>
      <c r="B189" s="130">
        <f>YEAR(Table13[[#This Row],[Date]])+IF(MONTH(Table13[[#This Row],[Date]])&gt;=4,1,0)</f>
        <v>2026</v>
      </c>
      <c r="C189" s="7">
        <f>YEAR(Table13[[#This Row],[Date]])</f>
        <v>2025</v>
      </c>
      <c r="D189" s="131">
        <f>Table13[[#This Row],[Date]]-DAY(Table13[[#This Row],[Date]])+1</f>
        <v>45931</v>
      </c>
      <c r="E189" s="7">
        <f t="shared" si="12"/>
        <v>31</v>
      </c>
      <c r="F189" s="132" t="str">
        <f>IFERROR(_xlfn.XLOOKUP($A189,'Raw Data'!$G:$G,'Raw Data'!$AM:$AM),"")</f>
        <v/>
      </c>
      <c r="G189" s="133" t="str">
        <f>IFERROR(_xlfn.XLOOKUP($A189,'Raw Data'!$G:$G,'Raw Data'!$AB:$AB),"")</f>
        <v/>
      </c>
      <c r="H189" s="133"/>
      <c r="I189" s="133" t="str">
        <f>IFERROR(_xlfn.XLOOKUP($A189,'Raw Data'!$G:$G,'Raw Data'!$AC:$AC),"")</f>
        <v/>
      </c>
      <c r="J189" s="133"/>
      <c r="K189" s="133" t="str">
        <f>IFERROR(_xlfn.XLOOKUP($A189,'Raw Data'!$G:$G,'Raw Data'!AD:AD),"")</f>
        <v/>
      </c>
      <c r="L189" s="133" t="str">
        <f>IFERROR(_xlfn.XLOOKUP($A189,'Raw Data'!$G:$G,'Raw Data'!AE:AE),"")</f>
        <v/>
      </c>
      <c r="M189" s="133" t="str">
        <f>IFERROR(_xlfn.XLOOKUP($A189,'Raw Data'!$G:$G,'Raw Data'!AF:AF),"")</f>
        <v/>
      </c>
      <c r="N189" s="133" t="str">
        <f>IFERROR(_xlfn.XLOOKUP($A189,'Raw Data'!$G:$G,'Raw Data'!AG:AG),"")</f>
        <v/>
      </c>
      <c r="O189" s="134" t="str">
        <f>IFERROR(1-SUMIF('Plant BD'!$H:$H,$A189,'Plant BD'!$AE:$AE)/($AA189+SUMIF('Plant BD'!$H:$H,$A189,'Plant BD'!$AE:$AE)),"")</f>
        <v/>
      </c>
      <c r="P189" s="134"/>
      <c r="Q189" s="135"/>
      <c r="R189" s="134" t="str">
        <f>IFERROR(1-SUMIF('Grid BD'!$H:$H,$A189,'Grid BD'!$AD:$AD)/($AA189+SUMIF('Grid BD'!$H:$H,$A189,'Grid BD'!$AD:$AD)),"")</f>
        <v/>
      </c>
      <c r="T189" s="135"/>
      <c r="U189" s="136" t="str">
        <f t="shared" si="13"/>
        <v/>
      </c>
      <c r="V189" s="136"/>
      <c r="W189" s="137" t="str">
        <f t="shared" si="14"/>
        <v/>
      </c>
      <c r="X189" s="130" t="str">
        <f>IFERROR(_xlfn.XLOOKUP($A189,'Raw Data'!$G:$G,'Raw Data'!AI:AI),"")</f>
        <v/>
      </c>
      <c r="Y189" s="130" t="str">
        <f>IFERROR(_xlfn.XLOOKUP($A189,'Raw Data'!$G:$G,'Raw Data'!AJ:AJ),"")</f>
        <v/>
      </c>
      <c r="Z189" s="130" t="str">
        <f>IFERROR(_xlfn.XLOOKUP($A189,'Raw Data'!$G:$G,'Raw Data'!AK:AK),"")</f>
        <v/>
      </c>
      <c r="AA189" s="130" t="str">
        <f>IFERROR(_xlfn.XLOOKUP($A189,'Raw Data'!$G:$G,'Raw Data'!AL:AL),"")</f>
        <v/>
      </c>
      <c r="AB189" s="130" t="str">
        <f>IFERROR(_xlfn.XLOOKUP($A189,'Raw Data'!$G:$G,'Raw Data'!H:H),"")</f>
        <v/>
      </c>
      <c r="AC189" s="76">
        <f>IFERROR(_xlfn.XLOOKUP($D189,'Modelling New'!$D:$D,'Modelling New'!P:P),"")</f>
        <v>5.1225806451612907</v>
      </c>
      <c r="AD189" s="130">
        <f>IFERROR(_xlfn.XLOOKUP($D189,'Modelling New'!$D:$D,'Modelling New'!$T:$T)*1000,"")</f>
        <v>29797.679316907321</v>
      </c>
      <c r="AE189" s="138">
        <f>IFERROR(_xlfn.XLOOKUP($D189,'Modelling New'!$D:$D,'Modelling New'!O:O),"")</f>
        <v>0.72522127474099773</v>
      </c>
      <c r="AF189" s="137">
        <f>IFERROR(_xlfn.XLOOKUP($D189,'Modelling New'!$D:$D,'Modelling New'!W:W),"")</f>
        <v>0.1547918527269764</v>
      </c>
      <c r="AG189" s="137">
        <f>IFERROR(_xlfn.XLOOKUP($D189,'Modelling New'!$D:$D,'Modelling New'!AE:AE),"")</f>
        <v>0.98040000000000005</v>
      </c>
      <c r="AH189" s="156">
        <f>IFERROR(_xlfn.XLOOKUP($D189,'Modelling New'!$D:$D,'Modelling New'!AF:AF),"")</f>
        <v>0.98</v>
      </c>
      <c r="AN189" s="134"/>
      <c r="AO189" s="137"/>
      <c r="AP189" s="137"/>
      <c r="AQ189" s="137"/>
      <c r="AR189" s="130">
        <f>'Basic Data'!$B$98/1000</f>
        <v>8.0208999999999993</v>
      </c>
    </row>
    <row r="190" spans="1:44" x14ac:dyDescent="0.3">
      <c r="A190" s="129">
        <f t="shared" si="15"/>
        <v>45933</v>
      </c>
      <c r="B190" s="130">
        <f>YEAR(Table13[[#This Row],[Date]])+IF(MONTH(Table13[[#This Row],[Date]])&gt;=4,1,0)</f>
        <v>2026</v>
      </c>
      <c r="C190" s="7">
        <f>YEAR(Table13[[#This Row],[Date]])</f>
        <v>2025</v>
      </c>
      <c r="D190" s="131">
        <f>Table13[[#This Row],[Date]]-DAY(Table13[[#This Row],[Date]])+1</f>
        <v>45931</v>
      </c>
      <c r="E190" s="7">
        <f t="shared" si="12"/>
        <v>31</v>
      </c>
      <c r="F190" s="132" t="str">
        <f>IFERROR(_xlfn.XLOOKUP($A190,'Raw Data'!$G:$G,'Raw Data'!$AM:$AM),"")</f>
        <v/>
      </c>
      <c r="G190" s="133" t="str">
        <f>IFERROR(_xlfn.XLOOKUP($A190,'Raw Data'!$G:$G,'Raw Data'!$AB:$AB),"")</f>
        <v/>
      </c>
      <c r="H190" s="133"/>
      <c r="I190" s="133" t="str">
        <f>IFERROR(_xlfn.XLOOKUP($A190,'Raw Data'!$G:$G,'Raw Data'!$AC:$AC),"")</f>
        <v/>
      </c>
      <c r="J190" s="133"/>
      <c r="K190" s="133" t="str">
        <f>IFERROR(_xlfn.XLOOKUP($A190,'Raw Data'!$G:$G,'Raw Data'!AD:AD),"")</f>
        <v/>
      </c>
      <c r="L190" s="133" t="str">
        <f>IFERROR(_xlfn.XLOOKUP($A190,'Raw Data'!$G:$G,'Raw Data'!AE:AE),"")</f>
        <v/>
      </c>
      <c r="M190" s="133" t="str">
        <f>IFERROR(_xlfn.XLOOKUP($A190,'Raw Data'!$G:$G,'Raw Data'!AF:AF),"")</f>
        <v/>
      </c>
      <c r="N190" s="133" t="str">
        <f>IFERROR(_xlfn.XLOOKUP($A190,'Raw Data'!$G:$G,'Raw Data'!AG:AG),"")</f>
        <v/>
      </c>
      <c r="O190" s="134" t="str">
        <f>IFERROR(1-SUMIF('Plant BD'!$H:$H,$A190,'Plant BD'!$AE:$AE)/($AA190+SUMIF('Plant BD'!$H:$H,$A190,'Plant BD'!$AE:$AE)),"")</f>
        <v/>
      </c>
      <c r="P190" s="134"/>
      <c r="Q190" s="135"/>
      <c r="R190" s="134" t="str">
        <f>IFERROR(1-SUMIF('Grid BD'!$H:$H,$A190,'Grid BD'!$AD:$AD)/($AA190+SUMIF('Grid BD'!$H:$H,$A190,'Grid BD'!$AD:$AD)),"")</f>
        <v/>
      </c>
      <c r="T190" s="135"/>
      <c r="U190" s="136" t="str">
        <f t="shared" si="13"/>
        <v/>
      </c>
      <c r="V190" s="136"/>
      <c r="W190" s="137" t="str">
        <f t="shared" si="14"/>
        <v/>
      </c>
      <c r="X190" s="130" t="str">
        <f>IFERROR(_xlfn.XLOOKUP($A190,'Raw Data'!$G:$G,'Raw Data'!AI:AI),"")</f>
        <v/>
      </c>
      <c r="Y190" s="130" t="str">
        <f>IFERROR(_xlfn.XLOOKUP($A190,'Raw Data'!$G:$G,'Raw Data'!AJ:AJ),"")</f>
        <v/>
      </c>
      <c r="Z190" s="130" t="str">
        <f>IFERROR(_xlfn.XLOOKUP($A190,'Raw Data'!$G:$G,'Raw Data'!AK:AK),"")</f>
        <v/>
      </c>
      <c r="AA190" s="130" t="str">
        <f>IFERROR(_xlfn.XLOOKUP($A190,'Raw Data'!$G:$G,'Raw Data'!AL:AL),"")</f>
        <v/>
      </c>
      <c r="AB190" s="130" t="str">
        <f>IFERROR(_xlfn.XLOOKUP($A190,'Raw Data'!$G:$G,'Raw Data'!H:H),"")</f>
        <v/>
      </c>
      <c r="AC190" s="76">
        <f>IFERROR(_xlfn.XLOOKUP($D190,'Modelling New'!$D:$D,'Modelling New'!P:P),"")</f>
        <v>5.1225806451612907</v>
      </c>
      <c r="AD190" s="130">
        <f>IFERROR(_xlfn.XLOOKUP($D190,'Modelling New'!$D:$D,'Modelling New'!$T:$T)*1000,"")</f>
        <v>29797.679316907321</v>
      </c>
      <c r="AE190" s="138">
        <f>IFERROR(_xlfn.XLOOKUP($D190,'Modelling New'!$D:$D,'Modelling New'!O:O),"")</f>
        <v>0.72522127474099773</v>
      </c>
      <c r="AF190" s="137">
        <f>IFERROR(_xlfn.XLOOKUP($D190,'Modelling New'!$D:$D,'Modelling New'!W:W),"")</f>
        <v>0.1547918527269764</v>
      </c>
      <c r="AG190" s="137">
        <f>IFERROR(_xlfn.XLOOKUP($D190,'Modelling New'!$D:$D,'Modelling New'!AE:AE),"")</f>
        <v>0.98040000000000005</v>
      </c>
      <c r="AH190" s="156">
        <f>IFERROR(_xlfn.XLOOKUP($D190,'Modelling New'!$D:$D,'Modelling New'!AF:AF),"")</f>
        <v>0.98</v>
      </c>
      <c r="AN190" s="134"/>
      <c r="AO190" s="137"/>
      <c r="AP190" s="137"/>
      <c r="AQ190" s="137"/>
      <c r="AR190" s="130">
        <f>'Basic Data'!$B$98/1000</f>
        <v>8.0208999999999993</v>
      </c>
    </row>
    <row r="191" spans="1:44" x14ac:dyDescent="0.3">
      <c r="A191" s="129">
        <f t="shared" si="15"/>
        <v>45934</v>
      </c>
      <c r="B191" s="130">
        <f>YEAR(Table13[[#This Row],[Date]])+IF(MONTH(Table13[[#This Row],[Date]])&gt;=4,1,0)</f>
        <v>2026</v>
      </c>
      <c r="C191" s="7">
        <f>YEAR(Table13[[#This Row],[Date]])</f>
        <v>2025</v>
      </c>
      <c r="D191" s="131">
        <f>Table13[[#This Row],[Date]]-DAY(Table13[[#This Row],[Date]])+1</f>
        <v>45931</v>
      </c>
      <c r="E191" s="7">
        <f t="shared" si="12"/>
        <v>31</v>
      </c>
      <c r="F191" s="132" t="str">
        <f>IFERROR(_xlfn.XLOOKUP($A191,'Raw Data'!$G:$G,'Raw Data'!$AM:$AM),"")</f>
        <v/>
      </c>
      <c r="G191" s="133" t="str">
        <f>IFERROR(_xlfn.XLOOKUP($A191,'Raw Data'!$G:$G,'Raw Data'!$AB:$AB),"")</f>
        <v/>
      </c>
      <c r="H191" s="133"/>
      <c r="I191" s="133" t="str">
        <f>IFERROR(_xlfn.XLOOKUP($A191,'Raw Data'!$G:$G,'Raw Data'!$AC:$AC),"")</f>
        <v/>
      </c>
      <c r="J191" s="133"/>
      <c r="K191" s="133" t="str">
        <f>IFERROR(_xlfn.XLOOKUP($A191,'Raw Data'!$G:$G,'Raw Data'!AD:AD),"")</f>
        <v/>
      </c>
      <c r="L191" s="133" t="str">
        <f>IFERROR(_xlfn.XLOOKUP($A191,'Raw Data'!$G:$G,'Raw Data'!AE:AE),"")</f>
        <v/>
      </c>
      <c r="M191" s="133" t="str">
        <f>IFERROR(_xlfn.XLOOKUP($A191,'Raw Data'!$G:$G,'Raw Data'!AF:AF),"")</f>
        <v/>
      </c>
      <c r="N191" s="133" t="str">
        <f>IFERROR(_xlfn.XLOOKUP($A191,'Raw Data'!$G:$G,'Raw Data'!AG:AG),"")</f>
        <v/>
      </c>
      <c r="O191" s="134" t="str">
        <f>IFERROR(1-SUMIF('Plant BD'!$H:$H,$A191,'Plant BD'!$AE:$AE)/($AA191+SUMIF('Plant BD'!$H:$H,$A191,'Plant BD'!$AE:$AE)),"")</f>
        <v/>
      </c>
      <c r="P191" s="134"/>
      <c r="Q191" s="135"/>
      <c r="R191" s="134" t="str">
        <f>IFERROR(1-SUMIF('Grid BD'!$H:$H,$A191,'Grid BD'!$AD:$AD)/($AA191+SUMIF('Grid BD'!$H:$H,$A191,'Grid BD'!$AD:$AD)),"")</f>
        <v/>
      </c>
      <c r="T191" s="135"/>
      <c r="U191" s="136" t="str">
        <f t="shared" si="13"/>
        <v/>
      </c>
      <c r="V191" s="136"/>
      <c r="W191" s="137" t="str">
        <f t="shared" si="14"/>
        <v/>
      </c>
      <c r="X191" s="130" t="str">
        <f>IFERROR(_xlfn.XLOOKUP($A191,'Raw Data'!$G:$G,'Raw Data'!AI:AI),"")</f>
        <v/>
      </c>
      <c r="Y191" s="130" t="str">
        <f>IFERROR(_xlfn.XLOOKUP($A191,'Raw Data'!$G:$G,'Raw Data'!AJ:AJ),"")</f>
        <v/>
      </c>
      <c r="Z191" s="130" t="str">
        <f>IFERROR(_xlfn.XLOOKUP($A191,'Raw Data'!$G:$G,'Raw Data'!AK:AK),"")</f>
        <v/>
      </c>
      <c r="AA191" s="130" t="str">
        <f>IFERROR(_xlfn.XLOOKUP($A191,'Raw Data'!$G:$G,'Raw Data'!AL:AL),"")</f>
        <v/>
      </c>
      <c r="AB191" s="130" t="str">
        <f>IFERROR(_xlfn.XLOOKUP($A191,'Raw Data'!$G:$G,'Raw Data'!H:H),"")</f>
        <v/>
      </c>
      <c r="AC191" s="76">
        <f>IFERROR(_xlfn.XLOOKUP($D191,'Modelling New'!$D:$D,'Modelling New'!P:P),"")</f>
        <v>5.1225806451612907</v>
      </c>
      <c r="AD191" s="130">
        <f>IFERROR(_xlfn.XLOOKUP($D191,'Modelling New'!$D:$D,'Modelling New'!$T:$T)*1000,"")</f>
        <v>29797.679316907321</v>
      </c>
      <c r="AE191" s="138">
        <f>IFERROR(_xlfn.XLOOKUP($D191,'Modelling New'!$D:$D,'Modelling New'!O:O),"")</f>
        <v>0.72522127474099773</v>
      </c>
      <c r="AF191" s="137">
        <f>IFERROR(_xlfn.XLOOKUP($D191,'Modelling New'!$D:$D,'Modelling New'!W:W),"")</f>
        <v>0.1547918527269764</v>
      </c>
      <c r="AG191" s="137">
        <f>IFERROR(_xlfn.XLOOKUP($D191,'Modelling New'!$D:$D,'Modelling New'!AE:AE),"")</f>
        <v>0.98040000000000005</v>
      </c>
      <c r="AH191" s="156">
        <f>IFERROR(_xlfn.XLOOKUP($D191,'Modelling New'!$D:$D,'Modelling New'!AF:AF),"")</f>
        <v>0.98</v>
      </c>
      <c r="AN191" s="134"/>
      <c r="AO191" s="137"/>
      <c r="AP191" s="137"/>
      <c r="AQ191" s="137"/>
      <c r="AR191" s="130">
        <f>'Basic Data'!$B$98/1000</f>
        <v>8.0208999999999993</v>
      </c>
    </row>
    <row r="192" spans="1:44" x14ac:dyDescent="0.3">
      <c r="A192" s="129">
        <f t="shared" si="15"/>
        <v>45935</v>
      </c>
      <c r="B192" s="130">
        <f>YEAR(Table13[[#This Row],[Date]])+IF(MONTH(Table13[[#This Row],[Date]])&gt;=4,1,0)</f>
        <v>2026</v>
      </c>
      <c r="C192" s="7">
        <f>YEAR(Table13[[#This Row],[Date]])</f>
        <v>2025</v>
      </c>
      <c r="D192" s="131">
        <f>Table13[[#This Row],[Date]]-DAY(Table13[[#This Row],[Date]])+1</f>
        <v>45931</v>
      </c>
      <c r="E192" s="7">
        <f t="shared" si="12"/>
        <v>31</v>
      </c>
      <c r="F192" s="132" t="str">
        <f>IFERROR(_xlfn.XLOOKUP($A192,'Raw Data'!$G:$G,'Raw Data'!$AM:$AM),"")</f>
        <v/>
      </c>
      <c r="G192" s="133" t="str">
        <f>IFERROR(_xlfn.XLOOKUP($A192,'Raw Data'!$G:$G,'Raw Data'!$AB:$AB),"")</f>
        <v/>
      </c>
      <c r="H192" s="133"/>
      <c r="I192" s="133" t="str">
        <f>IFERROR(_xlfn.XLOOKUP($A192,'Raw Data'!$G:$G,'Raw Data'!$AC:$AC),"")</f>
        <v/>
      </c>
      <c r="J192" s="133"/>
      <c r="K192" s="133" t="str">
        <f>IFERROR(_xlfn.XLOOKUP($A192,'Raw Data'!$G:$G,'Raw Data'!AD:AD),"")</f>
        <v/>
      </c>
      <c r="L192" s="133" t="str">
        <f>IFERROR(_xlfn.XLOOKUP($A192,'Raw Data'!$G:$G,'Raw Data'!AE:AE),"")</f>
        <v/>
      </c>
      <c r="M192" s="133" t="str">
        <f>IFERROR(_xlfn.XLOOKUP($A192,'Raw Data'!$G:$G,'Raw Data'!AF:AF),"")</f>
        <v/>
      </c>
      <c r="N192" s="133" t="str">
        <f>IFERROR(_xlfn.XLOOKUP($A192,'Raw Data'!$G:$G,'Raw Data'!AG:AG),"")</f>
        <v/>
      </c>
      <c r="O192" s="134" t="str">
        <f>IFERROR(1-SUMIF('Plant BD'!$H:$H,$A192,'Plant BD'!$AE:$AE)/($AA192+SUMIF('Plant BD'!$H:$H,$A192,'Plant BD'!$AE:$AE)),"")</f>
        <v/>
      </c>
      <c r="P192" s="134"/>
      <c r="Q192" s="135"/>
      <c r="R192" s="134" t="str">
        <f>IFERROR(1-SUMIF('Grid BD'!$H:$H,$A192,'Grid BD'!$AD:$AD)/($AA192+SUMIF('Grid BD'!$H:$H,$A192,'Grid BD'!$AD:$AD)),"")</f>
        <v/>
      </c>
      <c r="T192" s="135"/>
      <c r="U192" s="136" t="str">
        <f t="shared" si="13"/>
        <v/>
      </c>
      <c r="V192" s="136"/>
      <c r="W192" s="137" t="str">
        <f t="shared" si="14"/>
        <v/>
      </c>
      <c r="X192" s="130" t="str">
        <f>IFERROR(_xlfn.XLOOKUP($A192,'Raw Data'!$G:$G,'Raw Data'!AI:AI),"")</f>
        <v/>
      </c>
      <c r="Y192" s="130" t="str">
        <f>IFERROR(_xlfn.XLOOKUP($A192,'Raw Data'!$G:$G,'Raw Data'!AJ:AJ),"")</f>
        <v/>
      </c>
      <c r="Z192" s="130" t="str">
        <f>IFERROR(_xlfn.XLOOKUP($A192,'Raw Data'!$G:$G,'Raw Data'!AK:AK),"")</f>
        <v/>
      </c>
      <c r="AA192" s="130" t="str">
        <f>IFERROR(_xlfn.XLOOKUP($A192,'Raw Data'!$G:$G,'Raw Data'!AL:AL),"")</f>
        <v/>
      </c>
      <c r="AB192" s="130" t="str">
        <f>IFERROR(_xlfn.XLOOKUP($A192,'Raw Data'!$G:$G,'Raw Data'!H:H),"")</f>
        <v/>
      </c>
      <c r="AC192" s="76">
        <f>IFERROR(_xlfn.XLOOKUP($D192,'Modelling New'!$D:$D,'Modelling New'!P:P),"")</f>
        <v>5.1225806451612907</v>
      </c>
      <c r="AD192" s="130">
        <f>IFERROR(_xlfn.XLOOKUP($D192,'Modelling New'!$D:$D,'Modelling New'!$T:$T)*1000,"")</f>
        <v>29797.679316907321</v>
      </c>
      <c r="AE192" s="138">
        <f>IFERROR(_xlfn.XLOOKUP($D192,'Modelling New'!$D:$D,'Modelling New'!O:O),"")</f>
        <v>0.72522127474099773</v>
      </c>
      <c r="AF192" s="137">
        <f>IFERROR(_xlfn.XLOOKUP($D192,'Modelling New'!$D:$D,'Modelling New'!W:W),"")</f>
        <v>0.1547918527269764</v>
      </c>
      <c r="AG192" s="137">
        <f>IFERROR(_xlfn.XLOOKUP($D192,'Modelling New'!$D:$D,'Modelling New'!AE:AE),"")</f>
        <v>0.98040000000000005</v>
      </c>
      <c r="AH192" s="156">
        <f>IFERROR(_xlfn.XLOOKUP($D192,'Modelling New'!$D:$D,'Modelling New'!AF:AF),"")</f>
        <v>0.98</v>
      </c>
      <c r="AN192" s="134"/>
      <c r="AO192" s="137"/>
      <c r="AP192" s="137"/>
      <c r="AQ192" s="137"/>
      <c r="AR192" s="130">
        <f>'Basic Data'!$B$98/1000</f>
        <v>8.0208999999999993</v>
      </c>
    </row>
    <row r="193" spans="1:44" x14ac:dyDescent="0.3">
      <c r="A193" s="129">
        <f t="shared" si="15"/>
        <v>45936</v>
      </c>
      <c r="B193" s="130">
        <f>YEAR(Table13[[#This Row],[Date]])+IF(MONTH(Table13[[#This Row],[Date]])&gt;=4,1,0)</f>
        <v>2026</v>
      </c>
      <c r="C193" s="7">
        <f>YEAR(Table13[[#This Row],[Date]])</f>
        <v>2025</v>
      </c>
      <c r="D193" s="131">
        <f>Table13[[#This Row],[Date]]-DAY(Table13[[#This Row],[Date]])+1</f>
        <v>45931</v>
      </c>
      <c r="E193" s="7">
        <f t="shared" si="12"/>
        <v>31</v>
      </c>
      <c r="F193" s="132" t="str">
        <f>IFERROR(_xlfn.XLOOKUP($A193,'Raw Data'!$G:$G,'Raw Data'!$AM:$AM),"")</f>
        <v/>
      </c>
      <c r="G193" s="133" t="str">
        <f>IFERROR(_xlfn.XLOOKUP($A193,'Raw Data'!$G:$G,'Raw Data'!$AB:$AB),"")</f>
        <v/>
      </c>
      <c r="H193" s="133"/>
      <c r="I193" s="133" t="str">
        <f>IFERROR(_xlfn.XLOOKUP($A193,'Raw Data'!$G:$G,'Raw Data'!$AC:$AC),"")</f>
        <v/>
      </c>
      <c r="J193" s="133"/>
      <c r="K193" s="133" t="str">
        <f>IFERROR(_xlfn.XLOOKUP($A193,'Raw Data'!$G:$G,'Raw Data'!AD:AD),"")</f>
        <v/>
      </c>
      <c r="L193" s="133" t="str">
        <f>IFERROR(_xlfn.XLOOKUP($A193,'Raw Data'!$G:$G,'Raw Data'!AE:AE),"")</f>
        <v/>
      </c>
      <c r="M193" s="133" t="str">
        <f>IFERROR(_xlfn.XLOOKUP($A193,'Raw Data'!$G:$G,'Raw Data'!AF:AF),"")</f>
        <v/>
      </c>
      <c r="N193" s="133" t="str">
        <f>IFERROR(_xlfn.XLOOKUP($A193,'Raw Data'!$G:$G,'Raw Data'!AG:AG),"")</f>
        <v/>
      </c>
      <c r="O193" s="134" t="str">
        <f>IFERROR(1-SUMIF('Plant BD'!$H:$H,$A193,'Plant BD'!$AE:$AE)/($AA193+SUMIF('Plant BD'!$H:$H,$A193,'Plant BD'!$AE:$AE)),"")</f>
        <v/>
      </c>
      <c r="P193" s="134"/>
      <c r="Q193" s="135"/>
      <c r="R193" s="134" t="str">
        <f>IFERROR(1-SUMIF('Grid BD'!$H:$H,$A193,'Grid BD'!$AD:$AD)/($AA193+SUMIF('Grid BD'!$H:$H,$A193,'Grid BD'!$AD:$AD)),"")</f>
        <v/>
      </c>
      <c r="T193" s="135"/>
      <c r="U193" s="136" t="str">
        <f t="shared" si="13"/>
        <v/>
      </c>
      <c r="V193" s="136"/>
      <c r="W193" s="137" t="str">
        <f t="shared" si="14"/>
        <v/>
      </c>
      <c r="X193" s="130" t="str">
        <f>IFERROR(_xlfn.XLOOKUP($A193,'Raw Data'!$G:$G,'Raw Data'!AI:AI),"")</f>
        <v/>
      </c>
      <c r="Y193" s="130" t="str">
        <f>IFERROR(_xlfn.XLOOKUP($A193,'Raw Data'!$G:$G,'Raw Data'!AJ:AJ),"")</f>
        <v/>
      </c>
      <c r="Z193" s="130" t="str">
        <f>IFERROR(_xlfn.XLOOKUP($A193,'Raw Data'!$G:$G,'Raw Data'!AK:AK),"")</f>
        <v/>
      </c>
      <c r="AA193" s="130" t="str">
        <f>IFERROR(_xlfn.XLOOKUP($A193,'Raw Data'!$G:$G,'Raw Data'!AL:AL),"")</f>
        <v/>
      </c>
      <c r="AB193" s="130" t="str">
        <f>IFERROR(_xlfn.XLOOKUP($A193,'Raw Data'!$G:$G,'Raw Data'!H:H),"")</f>
        <v/>
      </c>
      <c r="AC193" s="76">
        <f>IFERROR(_xlfn.XLOOKUP($D193,'Modelling New'!$D:$D,'Modelling New'!P:P),"")</f>
        <v>5.1225806451612907</v>
      </c>
      <c r="AD193" s="130">
        <f>IFERROR(_xlfn.XLOOKUP($D193,'Modelling New'!$D:$D,'Modelling New'!$T:$T)*1000,"")</f>
        <v>29797.679316907321</v>
      </c>
      <c r="AE193" s="138">
        <f>IFERROR(_xlfn.XLOOKUP($D193,'Modelling New'!$D:$D,'Modelling New'!O:O),"")</f>
        <v>0.72522127474099773</v>
      </c>
      <c r="AF193" s="137">
        <f>IFERROR(_xlfn.XLOOKUP($D193,'Modelling New'!$D:$D,'Modelling New'!W:W),"")</f>
        <v>0.1547918527269764</v>
      </c>
      <c r="AG193" s="137">
        <f>IFERROR(_xlfn.XLOOKUP($D193,'Modelling New'!$D:$D,'Modelling New'!AE:AE),"")</f>
        <v>0.98040000000000005</v>
      </c>
      <c r="AH193" s="156">
        <f>IFERROR(_xlfn.XLOOKUP($D193,'Modelling New'!$D:$D,'Modelling New'!AF:AF),"")</f>
        <v>0.98</v>
      </c>
      <c r="AN193" s="134"/>
      <c r="AO193" s="137"/>
      <c r="AP193" s="137"/>
      <c r="AQ193" s="137"/>
      <c r="AR193" s="130">
        <f>'Basic Data'!$B$98/1000</f>
        <v>8.0208999999999993</v>
      </c>
    </row>
    <row r="194" spans="1:44" x14ac:dyDescent="0.3">
      <c r="A194" s="129">
        <f t="shared" si="15"/>
        <v>45937</v>
      </c>
      <c r="B194" s="130">
        <f>YEAR(Table13[[#This Row],[Date]])+IF(MONTH(Table13[[#This Row],[Date]])&gt;=4,1,0)</f>
        <v>2026</v>
      </c>
      <c r="C194" s="7">
        <f>YEAR(Table13[[#This Row],[Date]])</f>
        <v>2025</v>
      </c>
      <c r="D194" s="131">
        <f>Table13[[#This Row],[Date]]-DAY(Table13[[#This Row],[Date]])+1</f>
        <v>45931</v>
      </c>
      <c r="E194" s="7">
        <f t="shared" si="12"/>
        <v>31</v>
      </c>
      <c r="F194" s="132" t="str">
        <f>IFERROR(_xlfn.XLOOKUP($A194,'Raw Data'!$G:$G,'Raw Data'!$AM:$AM),"")</f>
        <v/>
      </c>
      <c r="G194" s="133" t="str">
        <f>IFERROR(_xlfn.XLOOKUP($A194,'Raw Data'!$G:$G,'Raw Data'!$AB:$AB),"")</f>
        <v/>
      </c>
      <c r="H194" s="133"/>
      <c r="I194" s="133" t="str">
        <f>IFERROR(_xlfn.XLOOKUP($A194,'Raw Data'!$G:$G,'Raw Data'!$AC:$AC),"")</f>
        <v/>
      </c>
      <c r="J194" s="133"/>
      <c r="K194" s="133" t="str">
        <f>IFERROR(_xlfn.XLOOKUP($A194,'Raw Data'!$G:$G,'Raw Data'!AD:AD),"")</f>
        <v/>
      </c>
      <c r="L194" s="133" t="str">
        <f>IFERROR(_xlfn.XLOOKUP($A194,'Raw Data'!$G:$G,'Raw Data'!AE:AE),"")</f>
        <v/>
      </c>
      <c r="M194" s="133" t="str">
        <f>IFERROR(_xlfn.XLOOKUP($A194,'Raw Data'!$G:$G,'Raw Data'!AF:AF),"")</f>
        <v/>
      </c>
      <c r="N194" s="133" t="str">
        <f>IFERROR(_xlfn.XLOOKUP($A194,'Raw Data'!$G:$G,'Raw Data'!AG:AG),"")</f>
        <v/>
      </c>
      <c r="O194" s="134" t="str">
        <f>IFERROR(1-SUMIF('Plant BD'!$H:$H,$A194,'Plant BD'!$AE:$AE)/($AA194+SUMIF('Plant BD'!$H:$H,$A194,'Plant BD'!$AE:$AE)),"")</f>
        <v/>
      </c>
      <c r="P194" s="134"/>
      <c r="Q194" s="135"/>
      <c r="R194" s="134" t="str">
        <f>IFERROR(1-SUMIF('Grid BD'!$H:$H,$A194,'Grid BD'!$AD:$AD)/($AA194+SUMIF('Grid BD'!$H:$H,$A194,'Grid BD'!$AD:$AD)),"")</f>
        <v/>
      </c>
      <c r="T194" s="135"/>
      <c r="U194" s="136" t="str">
        <f t="shared" si="13"/>
        <v/>
      </c>
      <c r="V194" s="136"/>
      <c r="W194" s="137" t="str">
        <f t="shared" si="14"/>
        <v/>
      </c>
      <c r="X194" s="130" t="str">
        <f>IFERROR(_xlfn.XLOOKUP($A194,'Raw Data'!$G:$G,'Raw Data'!AI:AI),"")</f>
        <v/>
      </c>
      <c r="Y194" s="130" t="str">
        <f>IFERROR(_xlfn.XLOOKUP($A194,'Raw Data'!$G:$G,'Raw Data'!AJ:AJ),"")</f>
        <v/>
      </c>
      <c r="Z194" s="130" t="str">
        <f>IFERROR(_xlfn.XLOOKUP($A194,'Raw Data'!$G:$G,'Raw Data'!AK:AK),"")</f>
        <v/>
      </c>
      <c r="AA194" s="130" t="str">
        <f>IFERROR(_xlfn.XLOOKUP($A194,'Raw Data'!$G:$G,'Raw Data'!AL:AL),"")</f>
        <v/>
      </c>
      <c r="AB194" s="130" t="str">
        <f>IFERROR(_xlfn.XLOOKUP($A194,'Raw Data'!$G:$G,'Raw Data'!H:H),"")</f>
        <v/>
      </c>
      <c r="AC194" s="76">
        <f>IFERROR(_xlfn.XLOOKUP($D194,'Modelling New'!$D:$D,'Modelling New'!P:P),"")</f>
        <v>5.1225806451612907</v>
      </c>
      <c r="AD194" s="130">
        <f>IFERROR(_xlfn.XLOOKUP($D194,'Modelling New'!$D:$D,'Modelling New'!$T:$T)*1000,"")</f>
        <v>29797.679316907321</v>
      </c>
      <c r="AE194" s="138">
        <f>IFERROR(_xlfn.XLOOKUP($D194,'Modelling New'!$D:$D,'Modelling New'!O:O),"")</f>
        <v>0.72522127474099773</v>
      </c>
      <c r="AF194" s="137">
        <f>IFERROR(_xlfn.XLOOKUP($D194,'Modelling New'!$D:$D,'Modelling New'!W:W),"")</f>
        <v>0.1547918527269764</v>
      </c>
      <c r="AG194" s="137">
        <f>IFERROR(_xlfn.XLOOKUP($D194,'Modelling New'!$D:$D,'Modelling New'!AE:AE),"")</f>
        <v>0.98040000000000005</v>
      </c>
      <c r="AH194" s="156">
        <f>IFERROR(_xlfn.XLOOKUP($D194,'Modelling New'!$D:$D,'Modelling New'!AF:AF),"")</f>
        <v>0.98</v>
      </c>
      <c r="AN194" s="134"/>
      <c r="AO194" s="137"/>
      <c r="AP194" s="137"/>
      <c r="AQ194" s="137"/>
      <c r="AR194" s="130">
        <f>'Basic Data'!$B$98/1000</f>
        <v>8.0208999999999993</v>
      </c>
    </row>
    <row r="195" spans="1:44" x14ac:dyDescent="0.3">
      <c r="A195" s="129">
        <f t="shared" si="15"/>
        <v>45938</v>
      </c>
      <c r="B195" s="130">
        <f>YEAR(Table13[[#This Row],[Date]])+IF(MONTH(Table13[[#This Row],[Date]])&gt;=4,1,0)</f>
        <v>2026</v>
      </c>
      <c r="C195" s="7">
        <f>YEAR(Table13[[#This Row],[Date]])</f>
        <v>2025</v>
      </c>
      <c r="D195" s="131">
        <f>Table13[[#This Row],[Date]]-DAY(Table13[[#This Row],[Date]])+1</f>
        <v>45931</v>
      </c>
      <c r="E195" s="7">
        <f t="shared" si="12"/>
        <v>31</v>
      </c>
      <c r="F195" s="132" t="str">
        <f>IFERROR(_xlfn.XLOOKUP($A195,'Raw Data'!$G:$G,'Raw Data'!$AM:$AM),"")</f>
        <v/>
      </c>
      <c r="G195" s="133" t="str">
        <f>IFERROR(_xlfn.XLOOKUP($A195,'Raw Data'!$G:$G,'Raw Data'!$AB:$AB),"")</f>
        <v/>
      </c>
      <c r="H195" s="133"/>
      <c r="I195" s="133" t="str">
        <f>IFERROR(_xlfn.XLOOKUP($A195,'Raw Data'!$G:$G,'Raw Data'!$AC:$AC),"")</f>
        <v/>
      </c>
      <c r="J195" s="133"/>
      <c r="K195" s="133" t="str">
        <f>IFERROR(_xlfn.XLOOKUP($A195,'Raw Data'!$G:$G,'Raw Data'!AD:AD),"")</f>
        <v/>
      </c>
      <c r="L195" s="133" t="str">
        <f>IFERROR(_xlfn.XLOOKUP($A195,'Raw Data'!$G:$G,'Raw Data'!AE:AE),"")</f>
        <v/>
      </c>
      <c r="M195" s="133" t="str">
        <f>IFERROR(_xlfn.XLOOKUP($A195,'Raw Data'!$G:$G,'Raw Data'!AF:AF),"")</f>
        <v/>
      </c>
      <c r="N195" s="133" t="str">
        <f>IFERROR(_xlfn.XLOOKUP($A195,'Raw Data'!$G:$G,'Raw Data'!AG:AG),"")</f>
        <v/>
      </c>
      <c r="O195" s="134" t="str">
        <f>IFERROR(1-SUMIF('Plant BD'!$H:$H,$A195,'Plant BD'!$AE:$AE)/($AA195+SUMIF('Plant BD'!$H:$H,$A195,'Plant BD'!$AE:$AE)),"")</f>
        <v/>
      </c>
      <c r="P195" s="134"/>
      <c r="Q195" s="135"/>
      <c r="R195" s="134" t="str">
        <f>IFERROR(1-SUMIF('Grid BD'!$H:$H,$A195,'Grid BD'!$AD:$AD)/($AA195+SUMIF('Grid BD'!$H:$H,$A195,'Grid BD'!$AD:$AD)),"")</f>
        <v/>
      </c>
      <c r="T195" s="135"/>
      <c r="U195" s="136" t="str">
        <f t="shared" si="13"/>
        <v/>
      </c>
      <c r="V195" s="136"/>
      <c r="W195" s="137" t="str">
        <f t="shared" si="14"/>
        <v/>
      </c>
      <c r="X195" s="130" t="str">
        <f>IFERROR(_xlfn.XLOOKUP($A195,'Raw Data'!$G:$G,'Raw Data'!AI:AI),"")</f>
        <v/>
      </c>
      <c r="Y195" s="130" t="str">
        <f>IFERROR(_xlfn.XLOOKUP($A195,'Raw Data'!$G:$G,'Raw Data'!AJ:AJ),"")</f>
        <v/>
      </c>
      <c r="Z195" s="130" t="str">
        <f>IFERROR(_xlfn.XLOOKUP($A195,'Raw Data'!$G:$G,'Raw Data'!AK:AK),"")</f>
        <v/>
      </c>
      <c r="AA195" s="130" t="str">
        <f>IFERROR(_xlfn.XLOOKUP($A195,'Raw Data'!$G:$G,'Raw Data'!AL:AL),"")</f>
        <v/>
      </c>
      <c r="AB195" s="130" t="str">
        <f>IFERROR(_xlfn.XLOOKUP($A195,'Raw Data'!$G:$G,'Raw Data'!H:H),"")</f>
        <v/>
      </c>
      <c r="AC195" s="76">
        <f>IFERROR(_xlfn.XLOOKUP($D195,'Modelling New'!$D:$D,'Modelling New'!P:P),"")</f>
        <v>5.1225806451612907</v>
      </c>
      <c r="AD195" s="130">
        <f>IFERROR(_xlfn.XLOOKUP($D195,'Modelling New'!$D:$D,'Modelling New'!$T:$T)*1000,"")</f>
        <v>29797.679316907321</v>
      </c>
      <c r="AE195" s="138">
        <f>IFERROR(_xlfn.XLOOKUP($D195,'Modelling New'!$D:$D,'Modelling New'!O:O),"")</f>
        <v>0.72522127474099773</v>
      </c>
      <c r="AF195" s="137">
        <f>IFERROR(_xlfn.XLOOKUP($D195,'Modelling New'!$D:$D,'Modelling New'!W:W),"")</f>
        <v>0.1547918527269764</v>
      </c>
      <c r="AG195" s="137">
        <f>IFERROR(_xlfn.XLOOKUP($D195,'Modelling New'!$D:$D,'Modelling New'!AE:AE),"")</f>
        <v>0.98040000000000005</v>
      </c>
      <c r="AH195" s="156">
        <f>IFERROR(_xlfn.XLOOKUP($D195,'Modelling New'!$D:$D,'Modelling New'!AF:AF),"")</f>
        <v>0.98</v>
      </c>
      <c r="AN195" s="134"/>
      <c r="AO195" s="137"/>
      <c r="AP195" s="137"/>
      <c r="AQ195" s="137"/>
      <c r="AR195" s="130">
        <f>'Basic Data'!$B$98/1000</f>
        <v>8.0208999999999993</v>
      </c>
    </row>
    <row r="196" spans="1:44" x14ac:dyDescent="0.3">
      <c r="A196" s="129">
        <f t="shared" si="15"/>
        <v>45939</v>
      </c>
      <c r="B196" s="130">
        <f>YEAR(Table13[[#This Row],[Date]])+IF(MONTH(Table13[[#This Row],[Date]])&gt;=4,1,0)</f>
        <v>2026</v>
      </c>
      <c r="C196" s="7">
        <f>YEAR(Table13[[#This Row],[Date]])</f>
        <v>2025</v>
      </c>
      <c r="D196" s="131">
        <f>Table13[[#This Row],[Date]]-DAY(Table13[[#This Row],[Date]])+1</f>
        <v>45931</v>
      </c>
      <c r="E196" s="7">
        <f t="shared" si="12"/>
        <v>31</v>
      </c>
      <c r="F196" s="132" t="str">
        <f>IFERROR(_xlfn.XLOOKUP($A196,'Raw Data'!$G:$G,'Raw Data'!$AM:$AM),"")</f>
        <v/>
      </c>
      <c r="G196" s="133" t="str">
        <f>IFERROR(_xlfn.XLOOKUP($A196,'Raw Data'!$G:$G,'Raw Data'!$AB:$AB),"")</f>
        <v/>
      </c>
      <c r="H196" s="133"/>
      <c r="I196" s="133" t="str">
        <f>IFERROR(_xlfn.XLOOKUP($A196,'Raw Data'!$G:$G,'Raw Data'!$AC:$AC),"")</f>
        <v/>
      </c>
      <c r="J196" s="133"/>
      <c r="K196" s="133" t="str">
        <f>IFERROR(_xlfn.XLOOKUP($A196,'Raw Data'!$G:$G,'Raw Data'!AD:AD),"")</f>
        <v/>
      </c>
      <c r="L196" s="133" t="str">
        <f>IFERROR(_xlfn.XLOOKUP($A196,'Raw Data'!$G:$G,'Raw Data'!AE:AE),"")</f>
        <v/>
      </c>
      <c r="M196" s="133" t="str">
        <f>IFERROR(_xlfn.XLOOKUP($A196,'Raw Data'!$G:$G,'Raw Data'!AF:AF),"")</f>
        <v/>
      </c>
      <c r="N196" s="133" t="str">
        <f>IFERROR(_xlfn.XLOOKUP($A196,'Raw Data'!$G:$G,'Raw Data'!AG:AG),"")</f>
        <v/>
      </c>
      <c r="O196" s="134" t="str">
        <f>IFERROR(1-SUMIF('Plant BD'!$H:$H,$A196,'Plant BD'!$AE:$AE)/($AA196+SUMIF('Plant BD'!$H:$H,$A196,'Plant BD'!$AE:$AE)),"")</f>
        <v/>
      </c>
      <c r="P196" s="134"/>
      <c r="Q196" s="135"/>
      <c r="R196" s="134" t="str">
        <f>IFERROR(1-SUMIF('Grid BD'!$H:$H,$A196,'Grid BD'!$AD:$AD)/($AA196+SUMIF('Grid BD'!$H:$H,$A196,'Grid BD'!$AD:$AD)),"")</f>
        <v/>
      </c>
      <c r="T196" s="135"/>
      <c r="U196" s="136" t="str">
        <f t="shared" si="13"/>
        <v/>
      </c>
      <c r="V196" s="136"/>
      <c r="W196" s="137" t="str">
        <f t="shared" si="14"/>
        <v/>
      </c>
      <c r="X196" s="130" t="str">
        <f>IFERROR(_xlfn.XLOOKUP($A196,'Raw Data'!$G:$G,'Raw Data'!AI:AI),"")</f>
        <v/>
      </c>
      <c r="Y196" s="130" t="str">
        <f>IFERROR(_xlfn.XLOOKUP($A196,'Raw Data'!$G:$G,'Raw Data'!AJ:AJ),"")</f>
        <v/>
      </c>
      <c r="Z196" s="130" t="str">
        <f>IFERROR(_xlfn.XLOOKUP($A196,'Raw Data'!$G:$G,'Raw Data'!AK:AK),"")</f>
        <v/>
      </c>
      <c r="AA196" s="130" t="str">
        <f>IFERROR(_xlfn.XLOOKUP($A196,'Raw Data'!$G:$G,'Raw Data'!AL:AL),"")</f>
        <v/>
      </c>
      <c r="AB196" s="130" t="str">
        <f>IFERROR(_xlfn.XLOOKUP($A196,'Raw Data'!$G:$G,'Raw Data'!H:H),"")</f>
        <v/>
      </c>
      <c r="AC196" s="76">
        <f>IFERROR(_xlfn.XLOOKUP($D196,'Modelling New'!$D:$D,'Modelling New'!P:P),"")</f>
        <v>5.1225806451612907</v>
      </c>
      <c r="AD196" s="130">
        <f>IFERROR(_xlfn.XLOOKUP($D196,'Modelling New'!$D:$D,'Modelling New'!$T:$T)*1000,"")</f>
        <v>29797.679316907321</v>
      </c>
      <c r="AE196" s="138">
        <f>IFERROR(_xlfn.XLOOKUP($D196,'Modelling New'!$D:$D,'Modelling New'!O:O),"")</f>
        <v>0.72522127474099773</v>
      </c>
      <c r="AF196" s="137">
        <f>IFERROR(_xlfn.XLOOKUP($D196,'Modelling New'!$D:$D,'Modelling New'!W:W),"")</f>
        <v>0.1547918527269764</v>
      </c>
      <c r="AG196" s="137">
        <f>IFERROR(_xlfn.XLOOKUP($D196,'Modelling New'!$D:$D,'Modelling New'!AE:AE),"")</f>
        <v>0.98040000000000005</v>
      </c>
      <c r="AH196" s="156">
        <f>IFERROR(_xlfn.XLOOKUP($D196,'Modelling New'!$D:$D,'Modelling New'!AF:AF),"")</f>
        <v>0.98</v>
      </c>
      <c r="AN196" s="134"/>
      <c r="AO196" s="137"/>
      <c r="AP196" s="137"/>
      <c r="AQ196" s="137"/>
      <c r="AR196" s="130">
        <f>'Basic Data'!$B$98/1000</f>
        <v>8.0208999999999993</v>
      </c>
    </row>
    <row r="197" spans="1:44" x14ac:dyDescent="0.3">
      <c r="A197" s="129">
        <f t="shared" si="15"/>
        <v>45940</v>
      </c>
      <c r="B197" s="130">
        <f>YEAR(Table13[[#This Row],[Date]])+IF(MONTH(Table13[[#This Row],[Date]])&gt;=4,1,0)</f>
        <v>2026</v>
      </c>
      <c r="C197" s="7">
        <f>YEAR(Table13[[#This Row],[Date]])</f>
        <v>2025</v>
      </c>
      <c r="D197" s="131">
        <f>Table13[[#This Row],[Date]]-DAY(Table13[[#This Row],[Date]])+1</f>
        <v>45931</v>
      </c>
      <c r="E197" s="7">
        <f t="shared" si="12"/>
        <v>31</v>
      </c>
      <c r="F197" s="132" t="str">
        <f>IFERROR(_xlfn.XLOOKUP($A197,'Raw Data'!$G:$G,'Raw Data'!$AM:$AM),"")</f>
        <v/>
      </c>
      <c r="G197" s="133" t="str">
        <f>IFERROR(_xlfn.XLOOKUP($A197,'Raw Data'!$G:$G,'Raw Data'!$AB:$AB),"")</f>
        <v/>
      </c>
      <c r="H197" s="133"/>
      <c r="I197" s="133" t="str">
        <f>IFERROR(_xlfn.XLOOKUP($A197,'Raw Data'!$G:$G,'Raw Data'!$AC:$AC),"")</f>
        <v/>
      </c>
      <c r="J197" s="133"/>
      <c r="K197" s="133" t="str">
        <f>IFERROR(_xlfn.XLOOKUP($A197,'Raw Data'!$G:$G,'Raw Data'!AD:AD),"")</f>
        <v/>
      </c>
      <c r="L197" s="133" t="str">
        <f>IFERROR(_xlfn.XLOOKUP($A197,'Raw Data'!$G:$G,'Raw Data'!AE:AE),"")</f>
        <v/>
      </c>
      <c r="M197" s="133" t="str">
        <f>IFERROR(_xlfn.XLOOKUP($A197,'Raw Data'!$G:$G,'Raw Data'!AF:AF),"")</f>
        <v/>
      </c>
      <c r="N197" s="133" t="str">
        <f>IFERROR(_xlfn.XLOOKUP($A197,'Raw Data'!$G:$G,'Raw Data'!AG:AG),"")</f>
        <v/>
      </c>
      <c r="O197" s="134" t="str">
        <f>IFERROR(1-SUMIF('Plant BD'!$H:$H,$A197,'Plant BD'!$AE:$AE)/($AA197+SUMIF('Plant BD'!$H:$H,$A197,'Plant BD'!$AE:$AE)),"")</f>
        <v/>
      </c>
      <c r="P197" s="134"/>
      <c r="Q197" s="135"/>
      <c r="R197" s="134" t="str">
        <f>IFERROR(1-SUMIF('Grid BD'!$H:$H,$A197,'Grid BD'!$AD:$AD)/($AA197+SUMIF('Grid BD'!$H:$H,$A197,'Grid BD'!$AD:$AD)),"")</f>
        <v/>
      </c>
      <c r="T197" s="135"/>
      <c r="U197" s="136" t="str">
        <f t="shared" si="13"/>
        <v/>
      </c>
      <c r="V197" s="136"/>
      <c r="W197" s="137" t="str">
        <f t="shared" si="14"/>
        <v/>
      </c>
      <c r="X197" s="130" t="str">
        <f>IFERROR(_xlfn.XLOOKUP($A197,'Raw Data'!$G:$G,'Raw Data'!AI:AI),"")</f>
        <v/>
      </c>
      <c r="Y197" s="130" t="str">
        <f>IFERROR(_xlfn.XLOOKUP($A197,'Raw Data'!$G:$G,'Raw Data'!AJ:AJ),"")</f>
        <v/>
      </c>
      <c r="Z197" s="130" t="str">
        <f>IFERROR(_xlfn.XLOOKUP($A197,'Raw Data'!$G:$G,'Raw Data'!AK:AK),"")</f>
        <v/>
      </c>
      <c r="AA197" s="130" t="str">
        <f>IFERROR(_xlfn.XLOOKUP($A197,'Raw Data'!$G:$G,'Raw Data'!AL:AL),"")</f>
        <v/>
      </c>
      <c r="AB197" s="130" t="str">
        <f>IFERROR(_xlfn.XLOOKUP($A197,'Raw Data'!$G:$G,'Raw Data'!H:H),"")</f>
        <v/>
      </c>
      <c r="AC197" s="76">
        <f>IFERROR(_xlfn.XLOOKUP($D197,'Modelling New'!$D:$D,'Modelling New'!P:P),"")</f>
        <v>5.1225806451612907</v>
      </c>
      <c r="AD197" s="130">
        <f>IFERROR(_xlfn.XLOOKUP($D197,'Modelling New'!$D:$D,'Modelling New'!$T:$T)*1000,"")</f>
        <v>29797.679316907321</v>
      </c>
      <c r="AE197" s="138">
        <f>IFERROR(_xlfn.XLOOKUP($D197,'Modelling New'!$D:$D,'Modelling New'!O:O),"")</f>
        <v>0.72522127474099773</v>
      </c>
      <c r="AF197" s="137">
        <f>IFERROR(_xlfn.XLOOKUP($D197,'Modelling New'!$D:$D,'Modelling New'!W:W),"")</f>
        <v>0.1547918527269764</v>
      </c>
      <c r="AG197" s="137">
        <f>IFERROR(_xlfn.XLOOKUP($D197,'Modelling New'!$D:$D,'Modelling New'!AE:AE),"")</f>
        <v>0.98040000000000005</v>
      </c>
      <c r="AH197" s="156">
        <f>IFERROR(_xlfn.XLOOKUP($D197,'Modelling New'!$D:$D,'Modelling New'!AF:AF),"")</f>
        <v>0.98</v>
      </c>
      <c r="AN197" s="134"/>
      <c r="AO197" s="137"/>
      <c r="AP197" s="137"/>
      <c r="AQ197" s="137"/>
      <c r="AR197" s="130">
        <f>'Basic Data'!$B$98/1000</f>
        <v>8.0208999999999993</v>
      </c>
    </row>
    <row r="198" spans="1:44" x14ac:dyDescent="0.3">
      <c r="A198" s="129">
        <f t="shared" si="15"/>
        <v>45941</v>
      </c>
      <c r="B198" s="130">
        <f>YEAR(Table13[[#This Row],[Date]])+IF(MONTH(Table13[[#This Row],[Date]])&gt;=4,1,0)</f>
        <v>2026</v>
      </c>
      <c r="C198" s="7">
        <f>YEAR(Table13[[#This Row],[Date]])</f>
        <v>2025</v>
      </c>
      <c r="D198" s="131">
        <f>Table13[[#This Row],[Date]]-DAY(Table13[[#This Row],[Date]])+1</f>
        <v>45931</v>
      </c>
      <c r="E198" s="7">
        <f t="shared" si="12"/>
        <v>31</v>
      </c>
      <c r="F198" s="132" t="str">
        <f>IFERROR(_xlfn.XLOOKUP($A198,'Raw Data'!$G:$G,'Raw Data'!$AM:$AM),"")</f>
        <v/>
      </c>
      <c r="G198" s="133" t="str">
        <f>IFERROR(_xlfn.XLOOKUP($A198,'Raw Data'!$G:$G,'Raw Data'!$AB:$AB),"")</f>
        <v/>
      </c>
      <c r="H198" s="133"/>
      <c r="I198" s="133" t="str">
        <f>IFERROR(_xlfn.XLOOKUP($A198,'Raw Data'!$G:$G,'Raw Data'!$AC:$AC),"")</f>
        <v/>
      </c>
      <c r="J198" s="133"/>
      <c r="K198" s="133" t="str">
        <f>IFERROR(_xlfn.XLOOKUP($A198,'Raw Data'!$G:$G,'Raw Data'!AD:AD),"")</f>
        <v/>
      </c>
      <c r="L198" s="133" t="str">
        <f>IFERROR(_xlfn.XLOOKUP($A198,'Raw Data'!$G:$G,'Raw Data'!AE:AE),"")</f>
        <v/>
      </c>
      <c r="M198" s="133" t="str">
        <f>IFERROR(_xlfn.XLOOKUP($A198,'Raw Data'!$G:$G,'Raw Data'!AF:AF),"")</f>
        <v/>
      </c>
      <c r="N198" s="133" t="str">
        <f>IFERROR(_xlfn.XLOOKUP($A198,'Raw Data'!$G:$G,'Raw Data'!AG:AG),"")</f>
        <v/>
      </c>
      <c r="O198" s="134" t="str">
        <f>IFERROR(1-SUMIF('Plant BD'!$H:$H,$A198,'Plant BD'!$AE:$AE)/($AA198+SUMIF('Plant BD'!$H:$H,$A198,'Plant BD'!$AE:$AE)),"")</f>
        <v/>
      </c>
      <c r="P198" s="134"/>
      <c r="Q198" s="135"/>
      <c r="R198" s="134" t="str">
        <f>IFERROR(1-SUMIF('Grid BD'!$H:$H,$A198,'Grid BD'!$AD:$AD)/($AA198+SUMIF('Grid BD'!$H:$H,$A198,'Grid BD'!$AD:$AD)),"")</f>
        <v/>
      </c>
      <c r="T198" s="135"/>
      <c r="U198" s="136" t="str">
        <f t="shared" si="13"/>
        <v/>
      </c>
      <c r="V198" s="136"/>
      <c r="W198" s="137" t="str">
        <f t="shared" si="14"/>
        <v/>
      </c>
      <c r="X198" s="130" t="str">
        <f>IFERROR(_xlfn.XLOOKUP($A198,'Raw Data'!$G:$G,'Raw Data'!AI:AI),"")</f>
        <v/>
      </c>
      <c r="Y198" s="130" t="str">
        <f>IFERROR(_xlfn.XLOOKUP($A198,'Raw Data'!$G:$G,'Raw Data'!AJ:AJ),"")</f>
        <v/>
      </c>
      <c r="Z198" s="130" t="str">
        <f>IFERROR(_xlfn.XLOOKUP($A198,'Raw Data'!$G:$G,'Raw Data'!AK:AK),"")</f>
        <v/>
      </c>
      <c r="AA198" s="130" t="str">
        <f>IFERROR(_xlfn.XLOOKUP($A198,'Raw Data'!$G:$G,'Raw Data'!AL:AL),"")</f>
        <v/>
      </c>
      <c r="AB198" s="130" t="str">
        <f>IFERROR(_xlfn.XLOOKUP($A198,'Raw Data'!$G:$G,'Raw Data'!H:H),"")</f>
        <v/>
      </c>
      <c r="AC198" s="76">
        <f>IFERROR(_xlfn.XLOOKUP($D198,'Modelling New'!$D:$D,'Modelling New'!P:P),"")</f>
        <v>5.1225806451612907</v>
      </c>
      <c r="AD198" s="130">
        <f>IFERROR(_xlfn.XLOOKUP($D198,'Modelling New'!$D:$D,'Modelling New'!$T:$T)*1000,"")</f>
        <v>29797.679316907321</v>
      </c>
      <c r="AE198" s="138">
        <f>IFERROR(_xlfn.XLOOKUP($D198,'Modelling New'!$D:$D,'Modelling New'!O:O),"")</f>
        <v>0.72522127474099773</v>
      </c>
      <c r="AF198" s="137">
        <f>IFERROR(_xlfn.XLOOKUP($D198,'Modelling New'!$D:$D,'Modelling New'!W:W),"")</f>
        <v>0.1547918527269764</v>
      </c>
      <c r="AG198" s="137">
        <f>IFERROR(_xlfn.XLOOKUP($D198,'Modelling New'!$D:$D,'Modelling New'!AE:AE),"")</f>
        <v>0.98040000000000005</v>
      </c>
      <c r="AH198" s="156">
        <f>IFERROR(_xlfn.XLOOKUP($D198,'Modelling New'!$D:$D,'Modelling New'!AF:AF),"")</f>
        <v>0.98</v>
      </c>
      <c r="AN198" s="134"/>
      <c r="AO198" s="137"/>
      <c r="AP198" s="137"/>
      <c r="AQ198" s="137"/>
      <c r="AR198" s="130">
        <f>'Basic Data'!$B$98/1000</f>
        <v>8.0208999999999993</v>
      </c>
    </row>
    <row r="199" spans="1:44" x14ac:dyDescent="0.3">
      <c r="A199" s="129">
        <f t="shared" si="15"/>
        <v>45942</v>
      </c>
      <c r="B199" s="130">
        <f>YEAR(Table13[[#This Row],[Date]])+IF(MONTH(Table13[[#This Row],[Date]])&gt;=4,1,0)</f>
        <v>2026</v>
      </c>
      <c r="C199" s="7">
        <f>YEAR(Table13[[#This Row],[Date]])</f>
        <v>2025</v>
      </c>
      <c r="D199" s="131">
        <f>Table13[[#This Row],[Date]]-DAY(Table13[[#This Row],[Date]])+1</f>
        <v>45931</v>
      </c>
      <c r="E199" s="7">
        <f t="shared" si="12"/>
        <v>31</v>
      </c>
      <c r="F199" s="132" t="str">
        <f>IFERROR(_xlfn.XLOOKUP($A199,'Raw Data'!$G:$G,'Raw Data'!$AM:$AM),"")</f>
        <v/>
      </c>
      <c r="G199" s="133" t="str">
        <f>IFERROR(_xlfn.XLOOKUP($A199,'Raw Data'!$G:$G,'Raw Data'!$AB:$AB),"")</f>
        <v/>
      </c>
      <c r="H199" s="133"/>
      <c r="I199" s="133" t="str">
        <f>IFERROR(_xlfn.XLOOKUP($A199,'Raw Data'!$G:$G,'Raw Data'!$AC:$AC),"")</f>
        <v/>
      </c>
      <c r="J199" s="133"/>
      <c r="K199" s="133" t="str">
        <f>IFERROR(_xlfn.XLOOKUP($A199,'Raw Data'!$G:$G,'Raw Data'!AD:AD),"")</f>
        <v/>
      </c>
      <c r="L199" s="133" t="str">
        <f>IFERROR(_xlfn.XLOOKUP($A199,'Raw Data'!$G:$G,'Raw Data'!AE:AE),"")</f>
        <v/>
      </c>
      <c r="M199" s="133" t="str">
        <f>IFERROR(_xlfn.XLOOKUP($A199,'Raw Data'!$G:$G,'Raw Data'!AF:AF),"")</f>
        <v/>
      </c>
      <c r="N199" s="133" t="str">
        <f>IFERROR(_xlfn.XLOOKUP($A199,'Raw Data'!$G:$G,'Raw Data'!AG:AG),"")</f>
        <v/>
      </c>
      <c r="O199" s="134" t="str">
        <f>IFERROR(1-SUMIF('Plant BD'!$H:$H,$A199,'Plant BD'!$AE:$AE)/($AA199+SUMIF('Plant BD'!$H:$H,$A199,'Plant BD'!$AE:$AE)),"")</f>
        <v/>
      </c>
      <c r="P199" s="134"/>
      <c r="Q199" s="135"/>
      <c r="R199" s="134" t="str">
        <f>IFERROR(1-SUMIF('Grid BD'!$H:$H,$A199,'Grid BD'!$AD:$AD)/($AA199+SUMIF('Grid BD'!$H:$H,$A199,'Grid BD'!$AD:$AD)),"")</f>
        <v/>
      </c>
      <c r="T199" s="135"/>
      <c r="U199" s="136" t="str">
        <f t="shared" si="13"/>
        <v/>
      </c>
      <c r="V199" s="136"/>
      <c r="W199" s="137" t="str">
        <f t="shared" si="14"/>
        <v/>
      </c>
      <c r="X199" s="130" t="str">
        <f>IFERROR(_xlfn.XLOOKUP($A199,'Raw Data'!$G:$G,'Raw Data'!AI:AI),"")</f>
        <v/>
      </c>
      <c r="Y199" s="130" t="str">
        <f>IFERROR(_xlfn.XLOOKUP($A199,'Raw Data'!$G:$G,'Raw Data'!AJ:AJ),"")</f>
        <v/>
      </c>
      <c r="Z199" s="130" t="str">
        <f>IFERROR(_xlfn.XLOOKUP($A199,'Raw Data'!$G:$G,'Raw Data'!AK:AK),"")</f>
        <v/>
      </c>
      <c r="AA199" s="130" t="str">
        <f>IFERROR(_xlfn.XLOOKUP($A199,'Raw Data'!$G:$G,'Raw Data'!AL:AL),"")</f>
        <v/>
      </c>
      <c r="AB199" s="130" t="str">
        <f>IFERROR(_xlfn.XLOOKUP($A199,'Raw Data'!$G:$G,'Raw Data'!H:H),"")</f>
        <v/>
      </c>
      <c r="AC199" s="76">
        <f>IFERROR(_xlfn.XLOOKUP($D199,'Modelling New'!$D:$D,'Modelling New'!P:P),"")</f>
        <v>5.1225806451612907</v>
      </c>
      <c r="AD199" s="130">
        <f>IFERROR(_xlfn.XLOOKUP($D199,'Modelling New'!$D:$D,'Modelling New'!$T:$T)*1000,"")</f>
        <v>29797.679316907321</v>
      </c>
      <c r="AE199" s="138">
        <f>IFERROR(_xlfn.XLOOKUP($D199,'Modelling New'!$D:$D,'Modelling New'!O:O),"")</f>
        <v>0.72522127474099773</v>
      </c>
      <c r="AF199" s="137">
        <f>IFERROR(_xlfn.XLOOKUP($D199,'Modelling New'!$D:$D,'Modelling New'!W:W),"")</f>
        <v>0.1547918527269764</v>
      </c>
      <c r="AG199" s="137">
        <f>IFERROR(_xlfn.XLOOKUP($D199,'Modelling New'!$D:$D,'Modelling New'!AE:AE),"")</f>
        <v>0.98040000000000005</v>
      </c>
      <c r="AH199" s="156">
        <f>IFERROR(_xlfn.XLOOKUP($D199,'Modelling New'!$D:$D,'Modelling New'!AF:AF),"")</f>
        <v>0.98</v>
      </c>
      <c r="AN199" s="134"/>
      <c r="AO199" s="137"/>
      <c r="AP199" s="137"/>
      <c r="AQ199" s="137"/>
      <c r="AR199" s="130">
        <f>'Basic Data'!$B$98/1000</f>
        <v>8.0208999999999993</v>
      </c>
    </row>
    <row r="200" spans="1:44" x14ac:dyDescent="0.3">
      <c r="A200" s="129">
        <f t="shared" si="15"/>
        <v>45943</v>
      </c>
      <c r="B200" s="130">
        <f>YEAR(Table13[[#This Row],[Date]])+IF(MONTH(Table13[[#This Row],[Date]])&gt;=4,1,0)</f>
        <v>2026</v>
      </c>
      <c r="C200" s="7">
        <f>YEAR(Table13[[#This Row],[Date]])</f>
        <v>2025</v>
      </c>
      <c r="D200" s="131">
        <f>Table13[[#This Row],[Date]]-DAY(Table13[[#This Row],[Date]])+1</f>
        <v>45931</v>
      </c>
      <c r="E200" s="7">
        <f t="shared" si="12"/>
        <v>31</v>
      </c>
      <c r="F200" s="132" t="str">
        <f>IFERROR(_xlfn.XLOOKUP($A200,'Raw Data'!$G:$G,'Raw Data'!$AM:$AM),"")</f>
        <v/>
      </c>
      <c r="G200" s="133" t="str">
        <f>IFERROR(_xlfn.XLOOKUP($A200,'Raw Data'!$G:$G,'Raw Data'!$AB:$AB),"")</f>
        <v/>
      </c>
      <c r="H200" s="133"/>
      <c r="I200" s="133" t="str">
        <f>IFERROR(_xlfn.XLOOKUP($A200,'Raw Data'!$G:$G,'Raw Data'!$AC:$AC),"")</f>
        <v/>
      </c>
      <c r="J200" s="133"/>
      <c r="K200" s="133" t="str">
        <f>IFERROR(_xlfn.XLOOKUP($A200,'Raw Data'!$G:$G,'Raw Data'!AD:AD),"")</f>
        <v/>
      </c>
      <c r="L200" s="133" t="str">
        <f>IFERROR(_xlfn.XLOOKUP($A200,'Raw Data'!$G:$G,'Raw Data'!AE:AE),"")</f>
        <v/>
      </c>
      <c r="M200" s="133" t="str">
        <f>IFERROR(_xlfn.XLOOKUP($A200,'Raw Data'!$G:$G,'Raw Data'!AF:AF),"")</f>
        <v/>
      </c>
      <c r="N200" s="133" t="str">
        <f>IFERROR(_xlfn.XLOOKUP($A200,'Raw Data'!$G:$G,'Raw Data'!AG:AG),"")</f>
        <v/>
      </c>
      <c r="O200" s="134" t="str">
        <f>IFERROR(1-SUMIF('Plant BD'!$H:$H,$A200,'Plant BD'!$AE:$AE)/($AA200+SUMIF('Plant BD'!$H:$H,$A200,'Plant BD'!$AE:$AE)),"")</f>
        <v/>
      </c>
      <c r="P200" s="134"/>
      <c r="Q200" s="135"/>
      <c r="R200" s="134" t="str">
        <f>IFERROR(1-SUMIF('Grid BD'!$H:$H,$A200,'Grid BD'!$AD:$AD)/($AA200+SUMIF('Grid BD'!$H:$H,$A200,'Grid BD'!$AD:$AD)),"")</f>
        <v/>
      </c>
      <c r="T200" s="135"/>
      <c r="U200" s="136" t="str">
        <f t="shared" si="13"/>
        <v/>
      </c>
      <c r="V200" s="136"/>
      <c r="W200" s="137" t="str">
        <f t="shared" si="14"/>
        <v/>
      </c>
      <c r="X200" s="130" t="str">
        <f>IFERROR(_xlfn.XLOOKUP($A200,'Raw Data'!$G:$G,'Raw Data'!AI:AI),"")</f>
        <v/>
      </c>
      <c r="Y200" s="130" t="str">
        <f>IFERROR(_xlfn.XLOOKUP($A200,'Raw Data'!$G:$G,'Raw Data'!AJ:AJ),"")</f>
        <v/>
      </c>
      <c r="Z200" s="130" t="str">
        <f>IFERROR(_xlfn.XLOOKUP($A200,'Raw Data'!$G:$G,'Raw Data'!AK:AK),"")</f>
        <v/>
      </c>
      <c r="AA200" s="130" t="str">
        <f>IFERROR(_xlfn.XLOOKUP($A200,'Raw Data'!$G:$G,'Raw Data'!AL:AL),"")</f>
        <v/>
      </c>
      <c r="AB200" s="130" t="str">
        <f>IFERROR(_xlfn.XLOOKUP($A200,'Raw Data'!$G:$G,'Raw Data'!H:H),"")</f>
        <v/>
      </c>
      <c r="AC200" s="76">
        <f>IFERROR(_xlfn.XLOOKUP($D200,'Modelling New'!$D:$D,'Modelling New'!P:P),"")</f>
        <v>5.1225806451612907</v>
      </c>
      <c r="AD200" s="130">
        <f>IFERROR(_xlfn.XLOOKUP($D200,'Modelling New'!$D:$D,'Modelling New'!$T:$T)*1000,"")</f>
        <v>29797.679316907321</v>
      </c>
      <c r="AE200" s="138">
        <f>IFERROR(_xlfn.XLOOKUP($D200,'Modelling New'!$D:$D,'Modelling New'!O:O),"")</f>
        <v>0.72522127474099773</v>
      </c>
      <c r="AF200" s="137">
        <f>IFERROR(_xlfn.XLOOKUP($D200,'Modelling New'!$D:$D,'Modelling New'!W:W),"")</f>
        <v>0.1547918527269764</v>
      </c>
      <c r="AG200" s="137">
        <f>IFERROR(_xlfn.XLOOKUP($D200,'Modelling New'!$D:$D,'Modelling New'!AE:AE),"")</f>
        <v>0.98040000000000005</v>
      </c>
      <c r="AH200" s="156">
        <f>IFERROR(_xlfn.XLOOKUP($D200,'Modelling New'!$D:$D,'Modelling New'!AF:AF),"")</f>
        <v>0.98</v>
      </c>
      <c r="AN200" s="134"/>
      <c r="AO200" s="137"/>
      <c r="AP200" s="137"/>
      <c r="AQ200" s="137"/>
      <c r="AR200" s="130">
        <f>'Basic Data'!$B$98/1000</f>
        <v>8.0208999999999993</v>
      </c>
    </row>
    <row r="201" spans="1:44" x14ac:dyDescent="0.3">
      <c r="A201" s="129">
        <f t="shared" si="15"/>
        <v>45944</v>
      </c>
      <c r="B201" s="130">
        <f>YEAR(Table13[[#This Row],[Date]])+IF(MONTH(Table13[[#This Row],[Date]])&gt;=4,1,0)</f>
        <v>2026</v>
      </c>
      <c r="C201" s="7">
        <f>YEAR(Table13[[#This Row],[Date]])</f>
        <v>2025</v>
      </c>
      <c r="D201" s="131">
        <f>Table13[[#This Row],[Date]]-DAY(Table13[[#This Row],[Date]])+1</f>
        <v>45931</v>
      </c>
      <c r="E201" s="7">
        <f t="shared" si="12"/>
        <v>31</v>
      </c>
      <c r="F201" s="132" t="str">
        <f>IFERROR(_xlfn.XLOOKUP($A201,'Raw Data'!$G:$G,'Raw Data'!$AM:$AM),"")</f>
        <v/>
      </c>
      <c r="G201" s="133" t="str">
        <f>IFERROR(_xlfn.XLOOKUP($A201,'Raw Data'!$G:$G,'Raw Data'!$AB:$AB),"")</f>
        <v/>
      </c>
      <c r="H201" s="133"/>
      <c r="I201" s="133" t="str">
        <f>IFERROR(_xlfn.XLOOKUP($A201,'Raw Data'!$G:$G,'Raw Data'!$AC:$AC),"")</f>
        <v/>
      </c>
      <c r="J201" s="133"/>
      <c r="K201" s="133" t="str">
        <f>IFERROR(_xlfn.XLOOKUP($A201,'Raw Data'!$G:$G,'Raw Data'!AD:AD),"")</f>
        <v/>
      </c>
      <c r="L201" s="133" t="str">
        <f>IFERROR(_xlfn.XLOOKUP($A201,'Raw Data'!$G:$G,'Raw Data'!AE:AE),"")</f>
        <v/>
      </c>
      <c r="M201" s="133" t="str">
        <f>IFERROR(_xlfn.XLOOKUP($A201,'Raw Data'!$G:$G,'Raw Data'!AF:AF),"")</f>
        <v/>
      </c>
      <c r="N201" s="133" t="str">
        <f>IFERROR(_xlfn.XLOOKUP($A201,'Raw Data'!$G:$G,'Raw Data'!AG:AG),"")</f>
        <v/>
      </c>
      <c r="O201" s="134" t="str">
        <f>IFERROR(1-SUMIF('Plant BD'!$H:$H,$A201,'Plant BD'!$AE:$AE)/($AA201+SUMIF('Plant BD'!$H:$H,$A201,'Plant BD'!$AE:$AE)),"")</f>
        <v/>
      </c>
      <c r="P201" s="134"/>
      <c r="Q201" s="135"/>
      <c r="R201" s="134" t="str">
        <f>IFERROR(1-SUMIF('Grid BD'!$H:$H,$A201,'Grid BD'!$AD:$AD)/($AA201+SUMIF('Grid BD'!$H:$H,$A201,'Grid BD'!$AD:$AD)),"")</f>
        <v/>
      </c>
      <c r="T201" s="135"/>
      <c r="U201" s="136" t="str">
        <f t="shared" si="13"/>
        <v/>
      </c>
      <c r="V201" s="136"/>
      <c r="W201" s="137" t="str">
        <f t="shared" si="14"/>
        <v/>
      </c>
      <c r="X201" s="130" t="str">
        <f>IFERROR(_xlfn.XLOOKUP($A201,'Raw Data'!$G:$G,'Raw Data'!AI:AI),"")</f>
        <v/>
      </c>
      <c r="Y201" s="130" t="str">
        <f>IFERROR(_xlfn.XLOOKUP($A201,'Raw Data'!$G:$G,'Raw Data'!AJ:AJ),"")</f>
        <v/>
      </c>
      <c r="Z201" s="130" t="str">
        <f>IFERROR(_xlfn.XLOOKUP($A201,'Raw Data'!$G:$G,'Raw Data'!AK:AK),"")</f>
        <v/>
      </c>
      <c r="AA201" s="130" t="str">
        <f>IFERROR(_xlfn.XLOOKUP($A201,'Raw Data'!$G:$G,'Raw Data'!AL:AL),"")</f>
        <v/>
      </c>
      <c r="AB201" s="130" t="str">
        <f>IFERROR(_xlfn.XLOOKUP($A201,'Raw Data'!$G:$G,'Raw Data'!H:H),"")</f>
        <v/>
      </c>
      <c r="AC201" s="76">
        <f>IFERROR(_xlfn.XLOOKUP($D201,'Modelling New'!$D:$D,'Modelling New'!P:P),"")</f>
        <v>5.1225806451612907</v>
      </c>
      <c r="AD201" s="130">
        <f>IFERROR(_xlfn.XLOOKUP($D201,'Modelling New'!$D:$D,'Modelling New'!$T:$T)*1000,"")</f>
        <v>29797.679316907321</v>
      </c>
      <c r="AE201" s="138">
        <f>IFERROR(_xlfn.XLOOKUP($D201,'Modelling New'!$D:$D,'Modelling New'!O:O),"")</f>
        <v>0.72522127474099773</v>
      </c>
      <c r="AF201" s="137">
        <f>IFERROR(_xlfn.XLOOKUP($D201,'Modelling New'!$D:$D,'Modelling New'!W:W),"")</f>
        <v>0.1547918527269764</v>
      </c>
      <c r="AG201" s="137">
        <f>IFERROR(_xlfn.XLOOKUP($D201,'Modelling New'!$D:$D,'Modelling New'!AE:AE),"")</f>
        <v>0.98040000000000005</v>
      </c>
      <c r="AH201" s="156">
        <f>IFERROR(_xlfn.XLOOKUP($D201,'Modelling New'!$D:$D,'Modelling New'!AF:AF),"")</f>
        <v>0.98</v>
      </c>
      <c r="AN201" s="134"/>
      <c r="AO201" s="137"/>
      <c r="AP201" s="137"/>
      <c r="AQ201" s="137"/>
      <c r="AR201" s="130">
        <f>'Basic Data'!$B$98/1000</f>
        <v>8.0208999999999993</v>
      </c>
    </row>
    <row r="202" spans="1:44" x14ac:dyDescent="0.3">
      <c r="A202" s="129">
        <f t="shared" si="15"/>
        <v>45945</v>
      </c>
      <c r="B202" s="130">
        <f>YEAR(Table13[[#This Row],[Date]])+IF(MONTH(Table13[[#This Row],[Date]])&gt;=4,1,0)</f>
        <v>2026</v>
      </c>
      <c r="C202" s="7">
        <f>YEAR(Table13[[#This Row],[Date]])</f>
        <v>2025</v>
      </c>
      <c r="D202" s="131">
        <f>Table13[[#This Row],[Date]]-DAY(Table13[[#This Row],[Date]])+1</f>
        <v>45931</v>
      </c>
      <c r="E202" s="7">
        <f t="shared" si="12"/>
        <v>31</v>
      </c>
      <c r="F202" s="132" t="str">
        <f>IFERROR(_xlfn.XLOOKUP($A202,'Raw Data'!$G:$G,'Raw Data'!$AM:$AM),"")</f>
        <v/>
      </c>
      <c r="G202" s="133" t="str">
        <f>IFERROR(_xlfn.XLOOKUP($A202,'Raw Data'!$G:$G,'Raw Data'!$AB:$AB),"")</f>
        <v/>
      </c>
      <c r="H202" s="133"/>
      <c r="I202" s="133" t="str">
        <f>IFERROR(_xlfn.XLOOKUP($A202,'Raw Data'!$G:$G,'Raw Data'!$AC:$AC),"")</f>
        <v/>
      </c>
      <c r="J202" s="133"/>
      <c r="K202" s="133" t="str">
        <f>IFERROR(_xlfn.XLOOKUP($A202,'Raw Data'!$G:$G,'Raw Data'!AD:AD),"")</f>
        <v/>
      </c>
      <c r="L202" s="133" t="str">
        <f>IFERROR(_xlfn.XLOOKUP($A202,'Raw Data'!$G:$G,'Raw Data'!AE:AE),"")</f>
        <v/>
      </c>
      <c r="M202" s="133" t="str">
        <f>IFERROR(_xlfn.XLOOKUP($A202,'Raw Data'!$G:$G,'Raw Data'!AF:AF),"")</f>
        <v/>
      </c>
      <c r="N202" s="133" t="str">
        <f>IFERROR(_xlfn.XLOOKUP($A202,'Raw Data'!$G:$G,'Raw Data'!AG:AG),"")</f>
        <v/>
      </c>
      <c r="O202" s="134" t="str">
        <f>IFERROR(1-SUMIF('Plant BD'!$H:$H,$A202,'Plant BD'!$AE:$AE)/($AA202+SUMIF('Plant BD'!$H:$H,$A202,'Plant BD'!$AE:$AE)),"")</f>
        <v/>
      </c>
      <c r="P202" s="134"/>
      <c r="Q202" s="135"/>
      <c r="R202" s="134" t="str">
        <f>IFERROR(1-SUMIF('Grid BD'!$H:$H,$A202,'Grid BD'!$AD:$AD)/($AA202+SUMIF('Grid BD'!$H:$H,$A202,'Grid BD'!$AD:$AD)),"")</f>
        <v/>
      </c>
      <c r="T202" s="135"/>
      <c r="U202" s="136" t="str">
        <f t="shared" si="13"/>
        <v/>
      </c>
      <c r="V202" s="136"/>
      <c r="W202" s="137" t="str">
        <f t="shared" si="14"/>
        <v/>
      </c>
      <c r="X202" s="130" t="str">
        <f>IFERROR(_xlfn.XLOOKUP($A202,'Raw Data'!$G:$G,'Raw Data'!AI:AI),"")</f>
        <v/>
      </c>
      <c r="Y202" s="130" t="str">
        <f>IFERROR(_xlfn.XLOOKUP($A202,'Raw Data'!$G:$G,'Raw Data'!AJ:AJ),"")</f>
        <v/>
      </c>
      <c r="Z202" s="130" t="str">
        <f>IFERROR(_xlfn.XLOOKUP($A202,'Raw Data'!$G:$G,'Raw Data'!AK:AK),"")</f>
        <v/>
      </c>
      <c r="AA202" s="130" t="str">
        <f>IFERROR(_xlfn.XLOOKUP($A202,'Raw Data'!$G:$G,'Raw Data'!AL:AL),"")</f>
        <v/>
      </c>
      <c r="AB202" s="130" t="str">
        <f>IFERROR(_xlfn.XLOOKUP($A202,'Raw Data'!$G:$G,'Raw Data'!H:H),"")</f>
        <v/>
      </c>
      <c r="AC202" s="76">
        <f>IFERROR(_xlfn.XLOOKUP($D202,'Modelling New'!$D:$D,'Modelling New'!P:P),"")</f>
        <v>5.1225806451612907</v>
      </c>
      <c r="AD202" s="130">
        <f>IFERROR(_xlfn.XLOOKUP($D202,'Modelling New'!$D:$D,'Modelling New'!$T:$T)*1000,"")</f>
        <v>29797.679316907321</v>
      </c>
      <c r="AE202" s="138">
        <f>IFERROR(_xlfn.XLOOKUP($D202,'Modelling New'!$D:$D,'Modelling New'!O:O),"")</f>
        <v>0.72522127474099773</v>
      </c>
      <c r="AF202" s="137">
        <f>IFERROR(_xlfn.XLOOKUP($D202,'Modelling New'!$D:$D,'Modelling New'!W:W),"")</f>
        <v>0.1547918527269764</v>
      </c>
      <c r="AG202" s="137">
        <f>IFERROR(_xlfn.XLOOKUP($D202,'Modelling New'!$D:$D,'Modelling New'!AE:AE),"")</f>
        <v>0.98040000000000005</v>
      </c>
      <c r="AH202" s="156">
        <f>IFERROR(_xlfn.XLOOKUP($D202,'Modelling New'!$D:$D,'Modelling New'!AF:AF),"")</f>
        <v>0.98</v>
      </c>
      <c r="AN202" s="134"/>
      <c r="AO202" s="137"/>
      <c r="AP202" s="137"/>
      <c r="AQ202" s="137"/>
      <c r="AR202" s="130">
        <f>'Basic Data'!$B$98/1000</f>
        <v>8.0208999999999993</v>
      </c>
    </row>
    <row r="203" spans="1:44" x14ac:dyDescent="0.3">
      <c r="A203" s="129">
        <f t="shared" si="15"/>
        <v>45946</v>
      </c>
      <c r="B203" s="130">
        <f>YEAR(Table13[[#This Row],[Date]])+IF(MONTH(Table13[[#This Row],[Date]])&gt;=4,1,0)</f>
        <v>2026</v>
      </c>
      <c r="C203" s="7">
        <f>YEAR(Table13[[#This Row],[Date]])</f>
        <v>2025</v>
      </c>
      <c r="D203" s="131">
        <f>Table13[[#This Row],[Date]]-DAY(Table13[[#This Row],[Date]])+1</f>
        <v>45931</v>
      </c>
      <c r="E203" s="7">
        <f t="shared" si="12"/>
        <v>31</v>
      </c>
      <c r="F203" s="132" t="str">
        <f>IFERROR(_xlfn.XLOOKUP($A203,'Raw Data'!$G:$G,'Raw Data'!$AM:$AM),"")</f>
        <v/>
      </c>
      <c r="G203" s="133" t="str">
        <f>IFERROR(_xlfn.XLOOKUP($A203,'Raw Data'!$G:$G,'Raw Data'!$AB:$AB),"")</f>
        <v/>
      </c>
      <c r="H203" s="133"/>
      <c r="I203" s="133" t="str">
        <f>IFERROR(_xlfn.XLOOKUP($A203,'Raw Data'!$G:$G,'Raw Data'!$AC:$AC),"")</f>
        <v/>
      </c>
      <c r="J203" s="133"/>
      <c r="K203" s="133" t="str">
        <f>IFERROR(_xlfn.XLOOKUP($A203,'Raw Data'!$G:$G,'Raw Data'!AD:AD),"")</f>
        <v/>
      </c>
      <c r="L203" s="133" t="str">
        <f>IFERROR(_xlfn.XLOOKUP($A203,'Raw Data'!$G:$G,'Raw Data'!AE:AE),"")</f>
        <v/>
      </c>
      <c r="M203" s="133" t="str">
        <f>IFERROR(_xlfn.XLOOKUP($A203,'Raw Data'!$G:$G,'Raw Data'!AF:AF),"")</f>
        <v/>
      </c>
      <c r="N203" s="133" t="str">
        <f>IFERROR(_xlfn.XLOOKUP($A203,'Raw Data'!$G:$G,'Raw Data'!AG:AG),"")</f>
        <v/>
      </c>
      <c r="O203" s="134" t="str">
        <f>IFERROR(1-SUMIF('Plant BD'!$H:$H,$A203,'Plant BD'!$AE:$AE)/($AA203+SUMIF('Plant BD'!$H:$H,$A203,'Plant BD'!$AE:$AE)),"")</f>
        <v/>
      </c>
      <c r="P203" s="134"/>
      <c r="Q203" s="135"/>
      <c r="R203" s="134" t="str">
        <f>IFERROR(1-SUMIF('Grid BD'!$H:$H,$A203,'Grid BD'!$AD:$AD)/($AA203+SUMIF('Grid BD'!$H:$H,$A203,'Grid BD'!$AD:$AD)),"")</f>
        <v/>
      </c>
      <c r="T203" s="135"/>
      <c r="U203" s="136" t="str">
        <f t="shared" si="13"/>
        <v/>
      </c>
      <c r="V203" s="136"/>
      <c r="W203" s="137" t="str">
        <f t="shared" si="14"/>
        <v/>
      </c>
      <c r="X203" s="130" t="str">
        <f>IFERROR(_xlfn.XLOOKUP($A203,'Raw Data'!$G:$G,'Raw Data'!AI:AI),"")</f>
        <v/>
      </c>
      <c r="Y203" s="130" t="str">
        <f>IFERROR(_xlfn.XLOOKUP($A203,'Raw Data'!$G:$G,'Raw Data'!AJ:AJ),"")</f>
        <v/>
      </c>
      <c r="Z203" s="130" t="str">
        <f>IFERROR(_xlfn.XLOOKUP($A203,'Raw Data'!$G:$G,'Raw Data'!AK:AK),"")</f>
        <v/>
      </c>
      <c r="AA203" s="130" t="str">
        <f>IFERROR(_xlfn.XLOOKUP($A203,'Raw Data'!$G:$G,'Raw Data'!AL:AL),"")</f>
        <v/>
      </c>
      <c r="AB203" s="130" t="str">
        <f>IFERROR(_xlfn.XLOOKUP($A203,'Raw Data'!$G:$G,'Raw Data'!H:H),"")</f>
        <v/>
      </c>
      <c r="AC203" s="76">
        <f>IFERROR(_xlfn.XLOOKUP($D203,'Modelling New'!$D:$D,'Modelling New'!P:P),"")</f>
        <v>5.1225806451612907</v>
      </c>
      <c r="AD203" s="130">
        <f>IFERROR(_xlfn.XLOOKUP($D203,'Modelling New'!$D:$D,'Modelling New'!$T:$T)*1000,"")</f>
        <v>29797.679316907321</v>
      </c>
      <c r="AE203" s="138">
        <f>IFERROR(_xlfn.XLOOKUP($D203,'Modelling New'!$D:$D,'Modelling New'!O:O),"")</f>
        <v>0.72522127474099773</v>
      </c>
      <c r="AF203" s="137">
        <f>IFERROR(_xlfn.XLOOKUP($D203,'Modelling New'!$D:$D,'Modelling New'!W:W),"")</f>
        <v>0.1547918527269764</v>
      </c>
      <c r="AG203" s="137">
        <f>IFERROR(_xlfn.XLOOKUP($D203,'Modelling New'!$D:$D,'Modelling New'!AE:AE),"")</f>
        <v>0.98040000000000005</v>
      </c>
      <c r="AH203" s="156">
        <f>IFERROR(_xlfn.XLOOKUP($D203,'Modelling New'!$D:$D,'Modelling New'!AF:AF),"")</f>
        <v>0.98</v>
      </c>
      <c r="AN203" s="134"/>
      <c r="AO203" s="137"/>
      <c r="AP203" s="137"/>
      <c r="AQ203" s="137"/>
      <c r="AR203" s="130">
        <f>'Basic Data'!$B$98/1000</f>
        <v>8.0208999999999993</v>
      </c>
    </row>
    <row r="204" spans="1:44" x14ac:dyDescent="0.3">
      <c r="A204" s="129">
        <f t="shared" si="15"/>
        <v>45947</v>
      </c>
      <c r="B204" s="130">
        <f>YEAR(Table13[[#This Row],[Date]])+IF(MONTH(Table13[[#This Row],[Date]])&gt;=4,1,0)</f>
        <v>2026</v>
      </c>
      <c r="C204" s="7">
        <f>YEAR(Table13[[#This Row],[Date]])</f>
        <v>2025</v>
      </c>
      <c r="D204" s="131">
        <f>Table13[[#This Row],[Date]]-DAY(Table13[[#This Row],[Date]])+1</f>
        <v>45931</v>
      </c>
      <c r="E204" s="7">
        <f t="shared" si="12"/>
        <v>31</v>
      </c>
      <c r="F204" s="132" t="str">
        <f>IFERROR(_xlfn.XLOOKUP($A204,'Raw Data'!$G:$G,'Raw Data'!$AM:$AM),"")</f>
        <v/>
      </c>
      <c r="G204" s="133" t="str">
        <f>IFERROR(_xlfn.XLOOKUP($A204,'Raw Data'!$G:$G,'Raw Data'!$AB:$AB),"")</f>
        <v/>
      </c>
      <c r="H204" s="133"/>
      <c r="I204" s="133" t="str">
        <f>IFERROR(_xlfn.XLOOKUP($A204,'Raw Data'!$G:$G,'Raw Data'!$AC:$AC),"")</f>
        <v/>
      </c>
      <c r="J204" s="133"/>
      <c r="K204" s="133" t="str">
        <f>IFERROR(_xlfn.XLOOKUP($A204,'Raw Data'!$G:$G,'Raw Data'!AD:AD),"")</f>
        <v/>
      </c>
      <c r="L204" s="133" t="str">
        <f>IFERROR(_xlfn.XLOOKUP($A204,'Raw Data'!$G:$G,'Raw Data'!AE:AE),"")</f>
        <v/>
      </c>
      <c r="M204" s="133" t="str">
        <f>IFERROR(_xlfn.XLOOKUP($A204,'Raw Data'!$G:$G,'Raw Data'!AF:AF),"")</f>
        <v/>
      </c>
      <c r="N204" s="133" t="str">
        <f>IFERROR(_xlfn.XLOOKUP($A204,'Raw Data'!$G:$G,'Raw Data'!AG:AG),"")</f>
        <v/>
      </c>
      <c r="O204" s="134" t="str">
        <f>IFERROR(1-SUMIF('Plant BD'!$H:$H,$A204,'Plant BD'!$AE:$AE)/($AA204+SUMIF('Plant BD'!$H:$H,$A204,'Plant BD'!$AE:$AE)),"")</f>
        <v/>
      </c>
      <c r="P204" s="134"/>
      <c r="Q204" s="135"/>
      <c r="R204" s="134" t="str">
        <f>IFERROR(1-SUMIF('Grid BD'!$H:$H,$A204,'Grid BD'!$AD:$AD)/($AA204+SUMIF('Grid BD'!$H:$H,$A204,'Grid BD'!$AD:$AD)),"")</f>
        <v/>
      </c>
      <c r="T204" s="135"/>
      <c r="U204" s="136" t="str">
        <f t="shared" si="13"/>
        <v/>
      </c>
      <c r="V204" s="136"/>
      <c r="W204" s="137" t="str">
        <f t="shared" si="14"/>
        <v/>
      </c>
      <c r="X204" s="130" t="str">
        <f>IFERROR(_xlfn.XLOOKUP($A204,'Raw Data'!$G:$G,'Raw Data'!AI:AI),"")</f>
        <v/>
      </c>
      <c r="Y204" s="130" t="str">
        <f>IFERROR(_xlfn.XLOOKUP($A204,'Raw Data'!$G:$G,'Raw Data'!AJ:AJ),"")</f>
        <v/>
      </c>
      <c r="Z204" s="130" t="str">
        <f>IFERROR(_xlfn.XLOOKUP($A204,'Raw Data'!$G:$G,'Raw Data'!AK:AK),"")</f>
        <v/>
      </c>
      <c r="AA204" s="130" t="str">
        <f>IFERROR(_xlfn.XLOOKUP($A204,'Raw Data'!$G:$G,'Raw Data'!AL:AL),"")</f>
        <v/>
      </c>
      <c r="AB204" s="130" t="str">
        <f>IFERROR(_xlfn.XLOOKUP($A204,'Raw Data'!$G:$G,'Raw Data'!H:H),"")</f>
        <v/>
      </c>
      <c r="AC204" s="76">
        <f>IFERROR(_xlfn.XLOOKUP($D204,'Modelling New'!$D:$D,'Modelling New'!P:P),"")</f>
        <v>5.1225806451612907</v>
      </c>
      <c r="AD204" s="130">
        <f>IFERROR(_xlfn.XLOOKUP($D204,'Modelling New'!$D:$D,'Modelling New'!$T:$T)*1000,"")</f>
        <v>29797.679316907321</v>
      </c>
      <c r="AE204" s="138">
        <f>IFERROR(_xlfn.XLOOKUP($D204,'Modelling New'!$D:$D,'Modelling New'!O:O),"")</f>
        <v>0.72522127474099773</v>
      </c>
      <c r="AF204" s="137">
        <f>IFERROR(_xlfn.XLOOKUP($D204,'Modelling New'!$D:$D,'Modelling New'!W:W),"")</f>
        <v>0.1547918527269764</v>
      </c>
      <c r="AG204" s="137">
        <f>IFERROR(_xlfn.XLOOKUP($D204,'Modelling New'!$D:$D,'Modelling New'!AE:AE),"")</f>
        <v>0.98040000000000005</v>
      </c>
      <c r="AH204" s="156">
        <f>IFERROR(_xlfn.XLOOKUP($D204,'Modelling New'!$D:$D,'Modelling New'!AF:AF),"")</f>
        <v>0.98</v>
      </c>
      <c r="AN204" s="134"/>
      <c r="AO204" s="137"/>
      <c r="AP204" s="137"/>
      <c r="AQ204" s="137"/>
      <c r="AR204" s="130">
        <f>'Basic Data'!$B$98/1000</f>
        <v>8.0208999999999993</v>
      </c>
    </row>
    <row r="205" spans="1:44" x14ac:dyDescent="0.3">
      <c r="A205" s="129">
        <f t="shared" si="15"/>
        <v>45948</v>
      </c>
      <c r="B205" s="130">
        <f>YEAR(Table13[[#This Row],[Date]])+IF(MONTH(Table13[[#This Row],[Date]])&gt;=4,1,0)</f>
        <v>2026</v>
      </c>
      <c r="C205" s="7">
        <f>YEAR(Table13[[#This Row],[Date]])</f>
        <v>2025</v>
      </c>
      <c r="D205" s="131">
        <f>Table13[[#This Row],[Date]]-DAY(Table13[[#This Row],[Date]])+1</f>
        <v>45931</v>
      </c>
      <c r="E205" s="7">
        <f t="shared" si="12"/>
        <v>31</v>
      </c>
      <c r="F205" s="132" t="str">
        <f>IFERROR(_xlfn.XLOOKUP($A205,'Raw Data'!$G:$G,'Raw Data'!$AM:$AM),"")</f>
        <v/>
      </c>
      <c r="G205" s="133" t="str">
        <f>IFERROR(_xlfn.XLOOKUP($A205,'Raw Data'!$G:$G,'Raw Data'!$AB:$AB),"")</f>
        <v/>
      </c>
      <c r="H205" s="133"/>
      <c r="I205" s="133" t="str">
        <f>IFERROR(_xlfn.XLOOKUP($A205,'Raw Data'!$G:$G,'Raw Data'!$AC:$AC),"")</f>
        <v/>
      </c>
      <c r="J205" s="133"/>
      <c r="K205" s="133" t="str">
        <f>IFERROR(_xlfn.XLOOKUP($A205,'Raw Data'!$G:$G,'Raw Data'!AD:AD),"")</f>
        <v/>
      </c>
      <c r="L205" s="133" t="str">
        <f>IFERROR(_xlfn.XLOOKUP($A205,'Raw Data'!$G:$G,'Raw Data'!AE:AE),"")</f>
        <v/>
      </c>
      <c r="M205" s="133" t="str">
        <f>IFERROR(_xlfn.XLOOKUP($A205,'Raw Data'!$G:$G,'Raw Data'!AF:AF),"")</f>
        <v/>
      </c>
      <c r="N205" s="133" t="str">
        <f>IFERROR(_xlfn.XLOOKUP($A205,'Raw Data'!$G:$G,'Raw Data'!AG:AG),"")</f>
        <v/>
      </c>
      <c r="O205" s="134" t="str">
        <f>IFERROR(1-SUMIF('Plant BD'!$H:$H,$A205,'Plant BD'!$AE:$AE)/($AA205+SUMIF('Plant BD'!$H:$H,$A205,'Plant BD'!$AE:$AE)),"")</f>
        <v/>
      </c>
      <c r="P205" s="134"/>
      <c r="Q205" s="135"/>
      <c r="R205" s="134" t="str">
        <f>IFERROR(1-SUMIF('Grid BD'!$H:$H,$A205,'Grid BD'!$AD:$AD)/($AA205+SUMIF('Grid BD'!$H:$H,$A205,'Grid BD'!$AD:$AD)),"")</f>
        <v/>
      </c>
      <c r="T205" s="135"/>
      <c r="U205" s="136" t="str">
        <f t="shared" si="13"/>
        <v/>
      </c>
      <c r="V205" s="136"/>
      <c r="W205" s="137" t="str">
        <f t="shared" si="14"/>
        <v/>
      </c>
      <c r="X205" s="130" t="str">
        <f>IFERROR(_xlfn.XLOOKUP($A205,'Raw Data'!$G:$G,'Raw Data'!AI:AI),"")</f>
        <v/>
      </c>
      <c r="Y205" s="130" t="str">
        <f>IFERROR(_xlfn.XLOOKUP($A205,'Raw Data'!$G:$G,'Raw Data'!AJ:AJ),"")</f>
        <v/>
      </c>
      <c r="Z205" s="130" t="str">
        <f>IFERROR(_xlfn.XLOOKUP($A205,'Raw Data'!$G:$G,'Raw Data'!AK:AK),"")</f>
        <v/>
      </c>
      <c r="AA205" s="130" t="str">
        <f>IFERROR(_xlfn.XLOOKUP($A205,'Raw Data'!$G:$G,'Raw Data'!AL:AL),"")</f>
        <v/>
      </c>
      <c r="AB205" s="130" t="str">
        <f>IFERROR(_xlfn.XLOOKUP($A205,'Raw Data'!$G:$G,'Raw Data'!H:H),"")</f>
        <v/>
      </c>
      <c r="AC205" s="76">
        <f>IFERROR(_xlfn.XLOOKUP($D205,'Modelling New'!$D:$D,'Modelling New'!P:P),"")</f>
        <v>5.1225806451612907</v>
      </c>
      <c r="AD205" s="130">
        <f>IFERROR(_xlfn.XLOOKUP($D205,'Modelling New'!$D:$D,'Modelling New'!$T:$T)*1000,"")</f>
        <v>29797.679316907321</v>
      </c>
      <c r="AE205" s="138">
        <f>IFERROR(_xlfn.XLOOKUP($D205,'Modelling New'!$D:$D,'Modelling New'!O:O),"")</f>
        <v>0.72522127474099773</v>
      </c>
      <c r="AF205" s="137">
        <f>IFERROR(_xlfn.XLOOKUP($D205,'Modelling New'!$D:$D,'Modelling New'!W:W),"")</f>
        <v>0.1547918527269764</v>
      </c>
      <c r="AG205" s="137">
        <f>IFERROR(_xlfn.XLOOKUP($D205,'Modelling New'!$D:$D,'Modelling New'!AE:AE),"")</f>
        <v>0.98040000000000005</v>
      </c>
      <c r="AH205" s="156">
        <f>IFERROR(_xlfn.XLOOKUP($D205,'Modelling New'!$D:$D,'Modelling New'!AF:AF),"")</f>
        <v>0.98</v>
      </c>
      <c r="AN205" s="134"/>
      <c r="AO205" s="137"/>
      <c r="AP205" s="137"/>
      <c r="AQ205" s="137"/>
      <c r="AR205" s="130">
        <f>'Basic Data'!$B$98/1000</f>
        <v>8.0208999999999993</v>
      </c>
    </row>
    <row r="206" spans="1:44" x14ac:dyDescent="0.3">
      <c r="A206" s="129">
        <f t="shared" si="15"/>
        <v>45949</v>
      </c>
      <c r="B206" s="130">
        <f>YEAR(Table13[[#This Row],[Date]])+IF(MONTH(Table13[[#This Row],[Date]])&gt;=4,1,0)</f>
        <v>2026</v>
      </c>
      <c r="C206" s="7">
        <f>YEAR(Table13[[#This Row],[Date]])</f>
        <v>2025</v>
      </c>
      <c r="D206" s="131">
        <f>Table13[[#This Row],[Date]]-DAY(Table13[[#This Row],[Date]])+1</f>
        <v>45931</v>
      </c>
      <c r="E206" s="7">
        <f t="shared" si="12"/>
        <v>31</v>
      </c>
      <c r="F206" s="132" t="str">
        <f>IFERROR(_xlfn.XLOOKUP($A206,'Raw Data'!$G:$G,'Raw Data'!$AM:$AM),"")</f>
        <v/>
      </c>
      <c r="G206" s="133" t="str">
        <f>IFERROR(_xlfn.XLOOKUP($A206,'Raw Data'!$G:$G,'Raw Data'!$AB:$AB),"")</f>
        <v/>
      </c>
      <c r="H206" s="133"/>
      <c r="I206" s="133" t="str">
        <f>IFERROR(_xlfn.XLOOKUP($A206,'Raw Data'!$G:$G,'Raw Data'!$AC:$AC),"")</f>
        <v/>
      </c>
      <c r="J206" s="133"/>
      <c r="K206" s="133" t="str">
        <f>IFERROR(_xlfn.XLOOKUP($A206,'Raw Data'!$G:$G,'Raw Data'!AD:AD),"")</f>
        <v/>
      </c>
      <c r="L206" s="133" t="str">
        <f>IFERROR(_xlfn.XLOOKUP($A206,'Raw Data'!$G:$G,'Raw Data'!AE:AE),"")</f>
        <v/>
      </c>
      <c r="M206" s="133" t="str">
        <f>IFERROR(_xlfn.XLOOKUP($A206,'Raw Data'!$G:$G,'Raw Data'!AF:AF),"")</f>
        <v/>
      </c>
      <c r="N206" s="133" t="str">
        <f>IFERROR(_xlfn.XLOOKUP($A206,'Raw Data'!$G:$G,'Raw Data'!AG:AG),"")</f>
        <v/>
      </c>
      <c r="O206" s="134" t="str">
        <f>IFERROR(1-SUMIF('Plant BD'!$H:$H,$A206,'Plant BD'!$AE:$AE)/($AA206+SUMIF('Plant BD'!$H:$H,$A206,'Plant BD'!$AE:$AE)),"")</f>
        <v/>
      </c>
      <c r="P206" s="134"/>
      <c r="Q206" s="135"/>
      <c r="R206" s="134" t="str">
        <f>IFERROR(1-SUMIF('Grid BD'!$H:$H,$A206,'Grid BD'!$AD:$AD)/($AA206+SUMIF('Grid BD'!$H:$H,$A206,'Grid BD'!$AD:$AD)),"")</f>
        <v/>
      </c>
      <c r="T206" s="135"/>
      <c r="U206" s="136" t="str">
        <f t="shared" si="13"/>
        <v/>
      </c>
      <c r="V206" s="136"/>
      <c r="W206" s="137" t="str">
        <f t="shared" si="14"/>
        <v/>
      </c>
      <c r="X206" s="130" t="str">
        <f>IFERROR(_xlfn.XLOOKUP($A206,'Raw Data'!$G:$G,'Raw Data'!AI:AI),"")</f>
        <v/>
      </c>
      <c r="Y206" s="130" t="str">
        <f>IFERROR(_xlfn.XLOOKUP($A206,'Raw Data'!$G:$G,'Raw Data'!AJ:AJ),"")</f>
        <v/>
      </c>
      <c r="Z206" s="130" t="str">
        <f>IFERROR(_xlfn.XLOOKUP($A206,'Raw Data'!$G:$G,'Raw Data'!AK:AK),"")</f>
        <v/>
      </c>
      <c r="AA206" s="130" t="str">
        <f>IFERROR(_xlfn.XLOOKUP($A206,'Raw Data'!$G:$G,'Raw Data'!AL:AL),"")</f>
        <v/>
      </c>
      <c r="AB206" s="130" t="str">
        <f>IFERROR(_xlfn.XLOOKUP($A206,'Raw Data'!$G:$G,'Raw Data'!H:H),"")</f>
        <v/>
      </c>
      <c r="AC206" s="76">
        <f>IFERROR(_xlfn.XLOOKUP($D206,'Modelling New'!$D:$D,'Modelling New'!P:P),"")</f>
        <v>5.1225806451612907</v>
      </c>
      <c r="AD206" s="130">
        <f>IFERROR(_xlfn.XLOOKUP($D206,'Modelling New'!$D:$D,'Modelling New'!$T:$T)*1000,"")</f>
        <v>29797.679316907321</v>
      </c>
      <c r="AE206" s="138">
        <f>IFERROR(_xlfn.XLOOKUP($D206,'Modelling New'!$D:$D,'Modelling New'!O:O),"")</f>
        <v>0.72522127474099773</v>
      </c>
      <c r="AF206" s="137">
        <f>IFERROR(_xlfn.XLOOKUP($D206,'Modelling New'!$D:$D,'Modelling New'!W:W),"")</f>
        <v>0.1547918527269764</v>
      </c>
      <c r="AG206" s="137">
        <f>IFERROR(_xlfn.XLOOKUP($D206,'Modelling New'!$D:$D,'Modelling New'!AE:AE),"")</f>
        <v>0.98040000000000005</v>
      </c>
      <c r="AH206" s="156">
        <f>IFERROR(_xlfn.XLOOKUP($D206,'Modelling New'!$D:$D,'Modelling New'!AF:AF),"")</f>
        <v>0.98</v>
      </c>
      <c r="AN206" s="134"/>
      <c r="AO206" s="137"/>
      <c r="AP206" s="137"/>
      <c r="AQ206" s="137"/>
      <c r="AR206" s="130">
        <f>'Basic Data'!$B$98/1000</f>
        <v>8.0208999999999993</v>
      </c>
    </row>
    <row r="207" spans="1:44" x14ac:dyDescent="0.3">
      <c r="A207" s="129">
        <f t="shared" si="15"/>
        <v>45950</v>
      </c>
      <c r="B207" s="130">
        <f>YEAR(Table13[[#This Row],[Date]])+IF(MONTH(Table13[[#This Row],[Date]])&gt;=4,1,0)</f>
        <v>2026</v>
      </c>
      <c r="C207" s="7">
        <f>YEAR(Table13[[#This Row],[Date]])</f>
        <v>2025</v>
      </c>
      <c r="D207" s="131">
        <f>Table13[[#This Row],[Date]]-DAY(Table13[[#This Row],[Date]])+1</f>
        <v>45931</v>
      </c>
      <c r="E207" s="7">
        <f t="shared" si="12"/>
        <v>31</v>
      </c>
      <c r="F207" s="132" t="str">
        <f>IFERROR(_xlfn.XLOOKUP($A207,'Raw Data'!$G:$G,'Raw Data'!$AM:$AM),"")</f>
        <v/>
      </c>
      <c r="G207" s="133" t="str">
        <f>IFERROR(_xlfn.XLOOKUP($A207,'Raw Data'!$G:$G,'Raw Data'!$AB:$AB),"")</f>
        <v/>
      </c>
      <c r="H207" s="133"/>
      <c r="I207" s="133" t="str">
        <f>IFERROR(_xlfn.XLOOKUP($A207,'Raw Data'!$G:$G,'Raw Data'!$AC:$AC),"")</f>
        <v/>
      </c>
      <c r="J207" s="133"/>
      <c r="K207" s="133" t="str">
        <f>IFERROR(_xlfn.XLOOKUP($A207,'Raw Data'!$G:$G,'Raw Data'!AD:AD),"")</f>
        <v/>
      </c>
      <c r="L207" s="133" t="str">
        <f>IFERROR(_xlfn.XLOOKUP($A207,'Raw Data'!$G:$G,'Raw Data'!AE:AE),"")</f>
        <v/>
      </c>
      <c r="M207" s="133" t="str">
        <f>IFERROR(_xlfn.XLOOKUP($A207,'Raw Data'!$G:$G,'Raw Data'!AF:AF),"")</f>
        <v/>
      </c>
      <c r="N207" s="133" t="str">
        <f>IFERROR(_xlfn.XLOOKUP($A207,'Raw Data'!$G:$G,'Raw Data'!AG:AG),"")</f>
        <v/>
      </c>
      <c r="O207" s="134" t="str">
        <f>IFERROR(1-SUMIF('Plant BD'!$H:$H,$A207,'Plant BD'!$AE:$AE)/($AA207+SUMIF('Plant BD'!$H:$H,$A207,'Plant BD'!$AE:$AE)),"")</f>
        <v/>
      </c>
      <c r="P207" s="134"/>
      <c r="Q207" s="135"/>
      <c r="R207" s="134" t="str">
        <f>IFERROR(1-SUMIF('Grid BD'!$H:$H,$A207,'Grid BD'!$AD:$AD)/($AA207+SUMIF('Grid BD'!$H:$H,$A207,'Grid BD'!$AD:$AD)),"")</f>
        <v/>
      </c>
      <c r="T207" s="135"/>
      <c r="U207" s="136" t="str">
        <f t="shared" si="13"/>
        <v/>
      </c>
      <c r="V207" s="136"/>
      <c r="W207" s="137" t="str">
        <f t="shared" si="14"/>
        <v/>
      </c>
      <c r="X207" s="130" t="str">
        <f>IFERROR(_xlfn.XLOOKUP($A207,'Raw Data'!$G:$G,'Raw Data'!AI:AI),"")</f>
        <v/>
      </c>
      <c r="Y207" s="130" t="str">
        <f>IFERROR(_xlfn.XLOOKUP($A207,'Raw Data'!$G:$G,'Raw Data'!AJ:AJ),"")</f>
        <v/>
      </c>
      <c r="Z207" s="130" t="str">
        <f>IFERROR(_xlfn.XLOOKUP($A207,'Raw Data'!$G:$G,'Raw Data'!AK:AK),"")</f>
        <v/>
      </c>
      <c r="AA207" s="130" t="str">
        <f>IFERROR(_xlfn.XLOOKUP($A207,'Raw Data'!$G:$G,'Raw Data'!AL:AL),"")</f>
        <v/>
      </c>
      <c r="AB207" s="130" t="str">
        <f>IFERROR(_xlfn.XLOOKUP($A207,'Raw Data'!$G:$G,'Raw Data'!H:H),"")</f>
        <v/>
      </c>
      <c r="AC207" s="76">
        <f>IFERROR(_xlfn.XLOOKUP($D207,'Modelling New'!$D:$D,'Modelling New'!P:P),"")</f>
        <v>5.1225806451612907</v>
      </c>
      <c r="AD207" s="130">
        <f>IFERROR(_xlfn.XLOOKUP($D207,'Modelling New'!$D:$D,'Modelling New'!$T:$T)*1000,"")</f>
        <v>29797.679316907321</v>
      </c>
      <c r="AE207" s="138">
        <f>IFERROR(_xlfn.XLOOKUP($D207,'Modelling New'!$D:$D,'Modelling New'!O:O),"")</f>
        <v>0.72522127474099773</v>
      </c>
      <c r="AF207" s="137">
        <f>IFERROR(_xlfn.XLOOKUP($D207,'Modelling New'!$D:$D,'Modelling New'!W:W),"")</f>
        <v>0.1547918527269764</v>
      </c>
      <c r="AG207" s="137">
        <f>IFERROR(_xlfn.XLOOKUP($D207,'Modelling New'!$D:$D,'Modelling New'!AE:AE),"")</f>
        <v>0.98040000000000005</v>
      </c>
      <c r="AH207" s="156">
        <f>IFERROR(_xlfn.XLOOKUP($D207,'Modelling New'!$D:$D,'Modelling New'!AF:AF),"")</f>
        <v>0.98</v>
      </c>
      <c r="AN207" s="134"/>
      <c r="AO207" s="137"/>
      <c r="AP207" s="137"/>
      <c r="AQ207" s="137"/>
      <c r="AR207" s="130">
        <f>'Basic Data'!$B$98/1000</f>
        <v>8.0208999999999993</v>
      </c>
    </row>
    <row r="208" spans="1:44" x14ac:dyDescent="0.3">
      <c r="A208" s="129">
        <f t="shared" si="15"/>
        <v>45951</v>
      </c>
      <c r="B208" s="130">
        <f>YEAR(Table13[[#This Row],[Date]])+IF(MONTH(Table13[[#This Row],[Date]])&gt;=4,1,0)</f>
        <v>2026</v>
      </c>
      <c r="C208" s="7">
        <f>YEAR(Table13[[#This Row],[Date]])</f>
        <v>2025</v>
      </c>
      <c r="D208" s="131">
        <f>Table13[[#This Row],[Date]]-DAY(Table13[[#This Row],[Date]])+1</f>
        <v>45931</v>
      </c>
      <c r="E208" s="7">
        <f t="shared" si="12"/>
        <v>31</v>
      </c>
      <c r="F208" s="132" t="str">
        <f>IFERROR(_xlfn.XLOOKUP($A208,'Raw Data'!$G:$G,'Raw Data'!$AM:$AM),"")</f>
        <v/>
      </c>
      <c r="G208" s="133" t="str">
        <f>IFERROR(_xlfn.XLOOKUP($A208,'Raw Data'!$G:$G,'Raw Data'!$AB:$AB),"")</f>
        <v/>
      </c>
      <c r="H208" s="133"/>
      <c r="I208" s="133" t="str">
        <f>IFERROR(_xlfn.XLOOKUP($A208,'Raw Data'!$G:$G,'Raw Data'!$AC:$AC),"")</f>
        <v/>
      </c>
      <c r="J208" s="133"/>
      <c r="K208" s="133" t="str">
        <f>IFERROR(_xlfn.XLOOKUP($A208,'Raw Data'!$G:$G,'Raw Data'!AD:AD),"")</f>
        <v/>
      </c>
      <c r="L208" s="133" t="str">
        <f>IFERROR(_xlfn.XLOOKUP($A208,'Raw Data'!$G:$G,'Raw Data'!AE:AE),"")</f>
        <v/>
      </c>
      <c r="M208" s="133" t="str">
        <f>IFERROR(_xlfn.XLOOKUP($A208,'Raw Data'!$G:$G,'Raw Data'!AF:AF),"")</f>
        <v/>
      </c>
      <c r="N208" s="133" t="str">
        <f>IFERROR(_xlfn.XLOOKUP($A208,'Raw Data'!$G:$G,'Raw Data'!AG:AG),"")</f>
        <v/>
      </c>
      <c r="O208" s="134" t="str">
        <f>IFERROR(1-SUMIF('Plant BD'!$H:$H,$A208,'Plant BD'!$AE:$AE)/($AA208+SUMIF('Plant BD'!$H:$H,$A208,'Plant BD'!$AE:$AE)),"")</f>
        <v/>
      </c>
      <c r="P208" s="134"/>
      <c r="Q208" s="135"/>
      <c r="R208" s="134" t="str">
        <f>IFERROR(1-SUMIF('Grid BD'!$H:$H,$A208,'Grid BD'!$AD:$AD)/($AA208+SUMIF('Grid BD'!$H:$H,$A208,'Grid BD'!$AD:$AD)),"")</f>
        <v/>
      </c>
      <c r="T208" s="135"/>
      <c r="U208" s="136" t="str">
        <f t="shared" si="13"/>
        <v/>
      </c>
      <c r="V208" s="136"/>
      <c r="W208" s="137" t="str">
        <f t="shared" si="14"/>
        <v/>
      </c>
      <c r="X208" s="130" t="str">
        <f>IFERROR(_xlfn.XLOOKUP($A208,'Raw Data'!$G:$G,'Raw Data'!AI:AI),"")</f>
        <v/>
      </c>
      <c r="Y208" s="130" t="str">
        <f>IFERROR(_xlfn.XLOOKUP($A208,'Raw Data'!$G:$G,'Raw Data'!AJ:AJ),"")</f>
        <v/>
      </c>
      <c r="Z208" s="130" t="str">
        <f>IFERROR(_xlfn.XLOOKUP($A208,'Raw Data'!$G:$G,'Raw Data'!AK:AK),"")</f>
        <v/>
      </c>
      <c r="AA208" s="130" t="str">
        <f>IFERROR(_xlfn.XLOOKUP($A208,'Raw Data'!$G:$G,'Raw Data'!AL:AL),"")</f>
        <v/>
      </c>
      <c r="AB208" s="130" t="str">
        <f>IFERROR(_xlfn.XLOOKUP($A208,'Raw Data'!$G:$G,'Raw Data'!H:H),"")</f>
        <v/>
      </c>
      <c r="AC208" s="76">
        <f>IFERROR(_xlfn.XLOOKUP($D208,'Modelling New'!$D:$D,'Modelling New'!P:P),"")</f>
        <v>5.1225806451612907</v>
      </c>
      <c r="AD208" s="130">
        <f>IFERROR(_xlfn.XLOOKUP($D208,'Modelling New'!$D:$D,'Modelling New'!$T:$T)*1000,"")</f>
        <v>29797.679316907321</v>
      </c>
      <c r="AE208" s="138">
        <f>IFERROR(_xlfn.XLOOKUP($D208,'Modelling New'!$D:$D,'Modelling New'!O:O),"")</f>
        <v>0.72522127474099773</v>
      </c>
      <c r="AF208" s="137">
        <f>IFERROR(_xlfn.XLOOKUP($D208,'Modelling New'!$D:$D,'Modelling New'!W:W),"")</f>
        <v>0.1547918527269764</v>
      </c>
      <c r="AG208" s="137">
        <f>IFERROR(_xlfn.XLOOKUP($D208,'Modelling New'!$D:$D,'Modelling New'!AE:AE),"")</f>
        <v>0.98040000000000005</v>
      </c>
      <c r="AH208" s="156">
        <f>IFERROR(_xlfn.XLOOKUP($D208,'Modelling New'!$D:$D,'Modelling New'!AF:AF),"")</f>
        <v>0.98</v>
      </c>
      <c r="AN208" s="134"/>
      <c r="AO208" s="137"/>
      <c r="AP208" s="137"/>
      <c r="AQ208" s="137"/>
      <c r="AR208" s="130">
        <f>'Basic Data'!$B$98/1000</f>
        <v>8.0208999999999993</v>
      </c>
    </row>
    <row r="209" spans="1:44" x14ac:dyDescent="0.3">
      <c r="A209" s="129">
        <f t="shared" si="15"/>
        <v>45952</v>
      </c>
      <c r="B209" s="130">
        <f>YEAR(Table13[[#This Row],[Date]])+IF(MONTH(Table13[[#This Row],[Date]])&gt;=4,1,0)</f>
        <v>2026</v>
      </c>
      <c r="C209" s="7">
        <f>YEAR(Table13[[#This Row],[Date]])</f>
        <v>2025</v>
      </c>
      <c r="D209" s="131">
        <f>Table13[[#This Row],[Date]]-DAY(Table13[[#This Row],[Date]])+1</f>
        <v>45931</v>
      </c>
      <c r="E209" s="7">
        <f t="shared" si="12"/>
        <v>31</v>
      </c>
      <c r="F209" s="132" t="str">
        <f>IFERROR(_xlfn.XLOOKUP($A209,'Raw Data'!$G:$G,'Raw Data'!$AM:$AM),"")</f>
        <v/>
      </c>
      <c r="G209" s="133" t="str">
        <f>IFERROR(_xlfn.XLOOKUP($A209,'Raw Data'!$G:$G,'Raw Data'!$AB:$AB),"")</f>
        <v/>
      </c>
      <c r="H209" s="133"/>
      <c r="I209" s="133" t="str">
        <f>IFERROR(_xlfn.XLOOKUP($A209,'Raw Data'!$G:$G,'Raw Data'!$AC:$AC),"")</f>
        <v/>
      </c>
      <c r="J209" s="133"/>
      <c r="K209" s="133" t="str">
        <f>IFERROR(_xlfn.XLOOKUP($A209,'Raw Data'!$G:$G,'Raw Data'!AD:AD),"")</f>
        <v/>
      </c>
      <c r="L209" s="133" t="str">
        <f>IFERROR(_xlfn.XLOOKUP($A209,'Raw Data'!$G:$G,'Raw Data'!AE:AE),"")</f>
        <v/>
      </c>
      <c r="M209" s="133" t="str">
        <f>IFERROR(_xlfn.XLOOKUP($A209,'Raw Data'!$G:$G,'Raw Data'!AF:AF),"")</f>
        <v/>
      </c>
      <c r="N209" s="133" t="str">
        <f>IFERROR(_xlfn.XLOOKUP($A209,'Raw Data'!$G:$G,'Raw Data'!AG:AG),"")</f>
        <v/>
      </c>
      <c r="O209" s="134" t="str">
        <f>IFERROR(1-SUMIF('Plant BD'!$H:$H,$A209,'Plant BD'!$AE:$AE)/($AA209+SUMIF('Plant BD'!$H:$H,$A209,'Plant BD'!$AE:$AE)),"")</f>
        <v/>
      </c>
      <c r="P209" s="134"/>
      <c r="Q209" s="135"/>
      <c r="R209" s="134" t="str">
        <f>IFERROR(1-SUMIF('Grid BD'!$H:$H,$A209,'Grid BD'!$AD:$AD)/($AA209+SUMIF('Grid BD'!$H:$H,$A209,'Grid BD'!$AD:$AD)),"")</f>
        <v/>
      </c>
      <c r="T209" s="135"/>
      <c r="U209" s="136" t="str">
        <f t="shared" si="13"/>
        <v/>
      </c>
      <c r="V209" s="136"/>
      <c r="W209" s="137" t="str">
        <f t="shared" si="14"/>
        <v/>
      </c>
      <c r="X209" s="130" t="str">
        <f>IFERROR(_xlfn.XLOOKUP($A209,'Raw Data'!$G:$G,'Raw Data'!AI:AI),"")</f>
        <v/>
      </c>
      <c r="Y209" s="130" t="str">
        <f>IFERROR(_xlfn.XLOOKUP($A209,'Raw Data'!$G:$G,'Raw Data'!AJ:AJ),"")</f>
        <v/>
      </c>
      <c r="Z209" s="130" t="str">
        <f>IFERROR(_xlfn.XLOOKUP($A209,'Raw Data'!$G:$G,'Raw Data'!AK:AK),"")</f>
        <v/>
      </c>
      <c r="AA209" s="130" t="str">
        <f>IFERROR(_xlfn.XLOOKUP($A209,'Raw Data'!$G:$G,'Raw Data'!AL:AL),"")</f>
        <v/>
      </c>
      <c r="AB209" s="130" t="str">
        <f>IFERROR(_xlfn.XLOOKUP($A209,'Raw Data'!$G:$G,'Raw Data'!H:H),"")</f>
        <v/>
      </c>
      <c r="AC209" s="76">
        <f>IFERROR(_xlfn.XLOOKUP($D209,'Modelling New'!$D:$D,'Modelling New'!P:P),"")</f>
        <v>5.1225806451612907</v>
      </c>
      <c r="AD209" s="130">
        <f>IFERROR(_xlfn.XLOOKUP($D209,'Modelling New'!$D:$D,'Modelling New'!$T:$T)*1000,"")</f>
        <v>29797.679316907321</v>
      </c>
      <c r="AE209" s="138">
        <f>IFERROR(_xlfn.XLOOKUP($D209,'Modelling New'!$D:$D,'Modelling New'!O:O),"")</f>
        <v>0.72522127474099773</v>
      </c>
      <c r="AF209" s="137">
        <f>IFERROR(_xlfn.XLOOKUP($D209,'Modelling New'!$D:$D,'Modelling New'!W:W),"")</f>
        <v>0.1547918527269764</v>
      </c>
      <c r="AG209" s="137">
        <f>IFERROR(_xlfn.XLOOKUP($D209,'Modelling New'!$D:$D,'Modelling New'!AE:AE),"")</f>
        <v>0.98040000000000005</v>
      </c>
      <c r="AH209" s="156">
        <f>IFERROR(_xlfn.XLOOKUP($D209,'Modelling New'!$D:$D,'Modelling New'!AF:AF),"")</f>
        <v>0.98</v>
      </c>
      <c r="AN209" s="134"/>
      <c r="AO209" s="137"/>
      <c r="AP209" s="137"/>
      <c r="AQ209" s="137"/>
      <c r="AR209" s="130">
        <f>'Basic Data'!$B$98/1000</f>
        <v>8.0208999999999993</v>
      </c>
    </row>
    <row r="210" spans="1:44" x14ac:dyDescent="0.3">
      <c r="A210" s="129">
        <f t="shared" si="15"/>
        <v>45953</v>
      </c>
      <c r="B210" s="130">
        <f>YEAR(Table13[[#This Row],[Date]])+IF(MONTH(Table13[[#This Row],[Date]])&gt;=4,1,0)</f>
        <v>2026</v>
      </c>
      <c r="C210" s="7">
        <f>YEAR(Table13[[#This Row],[Date]])</f>
        <v>2025</v>
      </c>
      <c r="D210" s="131">
        <f>Table13[[#This Row],[Date]]-DAY(Table13[[#This Row],[Date]])+1</f>
        <v>45931</v>
      </c>
      <c r="E210" s="7">
        <f t="shared" si="12"/>
        <v>31</v>
      </c>
      <c r="F210" s="132" t="str">
        <f>IFERROR(_xlfn.XLOOKUP($A210,'Raw Data'!$G:$G,'Raw Data'!$AM:$AM),"")</f>
        <v/>
      </c>
      <c r="G210" s="133" t="str">
        <f>IFERROR(_xlfn.XLOOKUP($A210,'Raw Data'!$G:$G,'Raw Data'!$AB:$AB),"")</f>
        <v/>
      </c>
      <c r="H210" s="133"/>
      <c r="I210" s="133" t="str">
        <f>IFERROR(_xlfn.XLOOKUP($A210,'Raw Data'!$G:$G,'Raw Data'!$AC:$AC),"")</f>
        <v/>
      </c>
      <c r="J210" s="133"/>
      <c r="K210" s="133" t="str">
        <f>IFERROR(_xlfn.XLOOKUP($A210,'Raw Data'!$G:$G,'Raw Data'!AD:AD),"")</f>
        <v/>
      </c>
      <c r="L210" s="133" t="str">
        <f>IFERROR(_xlfn.XLOOKUP($A210,'Raw Data'!$G:$G,'Raw Data'!AE:AE),"")</f>
        <v/>
      </c>
      <c r="M210" s="133" t="str">
        <f>IFERROR(_xlfn.XLOOKUP($A210,'Raw Data'!$G:$G,'Raw Data'!AF:AF),"")</f>
        <v/>
      </c>
      <c r="N210" s="133" t="str">
        <f>IFERROR(_xlfn.XLOOKUP($A210,'Raw Data'!$G:$G,'Raw Data'!AG:AG),"")</f>
        <v/>
      </c>
      <c r="O210" s="134" t="str">
        <f>IFERROR(1-SUMIF('Plant BD'!$H:$H,$A210,'Plant BD'!$AE:$AE)/($AA210+SUMIF('Plant BD'!$H:$H,$A210,'Plant BD'!$AE:$AE)),"")</f>
        <v/>
      </c>
      <c r="P210" s="134"/>
      <c r="Q210" s="135"/>
      <c r="R210" s="134" t="str">
        <f>IFERROR(1-SUMIF('Grid BD'!$H:$H,$A210,'Grid BD'!$AD:$AD)/($AA210+SUMIF('Grid BD'!$H:$H,$A210,'Grid BD'!$AD:$AD)),"")</f>
        <v/>
      </c>
      <c r="T210" s="135"/>
      <c r="U210" s="136" t="str">
        <f t="shared" si="13"/>
        <v/>
      </c>
      <c r="V210" s="136"/>
      <c r="W210" s="137" t="str">
        <f t="shared" si="14"/>
        <v/>
      </c>
      <c r="X210" s="130" t="str">
        <f>IFERROR(_xlfn.XLOOKUP($A210,'Raw Data'!$G:$G,'Raw Data'!AI:AI),"")</f>
        <v/>
      </c>
      <c r="Y210" s="130" t="str">
        <f>IFERROR(_xlfn.XLOOKUP($A210,'Raw Data'!$G:$G,'Raw Data'!AJ:AJ),"")</f>
        <v/>
      </c>
      <c r="Z210" s="130" t="str">
        <f>IFERROR(_xlfn.XLOOKUP($A210,'Raw Data'!$G:$G,'Raw Data'!AK:AK),"")</f>
        <v/>
      </c>
      <c r="AA210" s="130" t="str">
        <f>IFERROR(_xlfn.XLOOKUP($A210,'Raw Data'!$G:$G,'Raw Data'!AL:AL),"")</f>
        <v/>
      </c>
      <c r="AB210" s="130" t="str">
        <f>IFERROR(_xlfn.XLOOKUP($A210,'Raw Data'!$G:$G,'Raw Data'!H:H),"")</f>
        <v/>
      </c>
      <c r="AC210" s="76">
        <f>IFERROR(_xlfn.XLOOKUP($D210,'Modelling New'!$D:$D,'Modelling New'!P:P),"")</f>
        <v>5.1225806451612907</v>
      </c>
      <c r="AD210" s="130">
        <f>IFERROR(_xlfn.XLOOKUP($D210,'Modelling New'!$D:$D,'Modelling New'!$T:$T)*1000,"")</f>
        <v>29797.679316907321</v>
      </c>
      <c r="AE210" s="138">
        <f>IFERROR(_xlfn.XLOOKUP($D210,'Modelling New'!$D:$D,'Modelling New'!O:O),"")</f>
        <v>0.72522127474099773</v>
      </c>
      <c r="AF210" s="137">
        <f>IFERROR(_xlfn.XLOOKUP($D210,'Modelling New'!$D:$D,'Modelling New'!W:W),"")</f>
        <v>0.1547918527269764</v>
      </c>
      <c r="AG210" s="137">
        <f>IFERROR(_xlfn.XLOOKUP($D210,'Modelling New'!$D:$D,'Modelling New'!AE:AE),"")</f>
        <v>0.98040000000000005</v>
      </c>
      <c r="AH210" s="156">
        <f>IFERROR(_xlfn.XLOOKUP($D210,'Modelling New'!$D:$D,'Modelling New'!AF:AF),"")</f>
        <v>0.98</v>
      </c>
      <c r="AN210" s="134"/>
      <c r="AO210" s="137"/>
      <c r="AP210" s="137"/>
      <c r="AQ210" s="137"/>
      <c r="AR210" s="130">
        <f>'Basic Data'!$B$98/1000</f>
        <v>8.0208999999999993</v>
      </c>
    </row>
    <row r="211" spans="1:44" x14ac:dyDescent="0.3">
      <c r="A211" s="129">
        <f t="shared" si="15"/>
        <v>45954</v>
      </c>
      <c r="B211" s="130">
        <f>YEAR(Table13[[#This Row],[Date]])+IF(MONTH(Table13[[#This Row],[Date]])&gt;=4,1,0)</f>
        <v>2026</v>
      </c>
      <c r="C211" s="7">
        <f>YEAR(Table13[[#This Row],[Date]])</f>
        <v>2025</v>
      </c>
      <c r="D211" s="131">
        <f>Table13[[#This Row],[Date]]-DAY(Table13[[#This Row],[Date]])+1</f>
        <v>45931</v>
      </c>
      <c r="E211" s="7">
        <f t="shared" si="12"/>
        <v>31</v>
      </c>
      <c r="F211" s="132" t="str">
        <f>IFERROR(_xlfn.XLOOKUP($A211,'Raw Data'!$G:$G,'Raw Data'!$AM:$AM),"")</f>
        <v/>
      </c>
      <c r="G211" s="133" t="str">
        <f>IFERROR(_xlfn.XLOOKUP($A211,'Raw Data'!$G:$G,'Raw Data'!$AB:$AB),"")</f>
        <v/>
      </c>
      <c r="H211" s="133"/>
      <c r="I211" s="133" t="str">
        <f>IFERROR(_xlfn.XLOOKUP($A211,'Raw Data'!$G:$G,'Raw Data'!$AC:$AC),"")</f>
        <v/>
      </c>
      <c r="J211" s="133"/>
      <c r="K211" s="133" t="str">
        <f>IFERROR(_xlfn.XLOOKUP($A211,'Raw Data'!$G:$G,'Raw Data'!AD:AD),"")</f>
        <v/>
      </c>
      <c r="L211" s="133" t="str">
        <f>IFERROR(_xlfn.XLOOKUP($A211,'Raw Data'!$G:$G,'Raw Data'!AE:AE),"")</f>
        <v/>
      </c>
      <c r="M211" s="133" t="str">
        <f>IFERROR(_xlfn.XLOOKUP($A211,'Raw Data'!$G:$G,'Raw Data'!AF:AF),"")</f>
        <v/>
      </c>
      <c r="N211" s="133" t="str">
        <f>IFERROR(_xlfn.XLOOKUP($A211,'Raw Data'!$G:$G,'Raw Data'!AG:AG),"")</f>
        <v/>
      </c>
      <c r="O211" s="134" t="str">
        <f>IFERROR(1-SUMIF('Plant BD'!$H:$H,$A211,'Plant BD'!$AE:$AE)/($AA211+SUMIF('Plant BD'!$H:$H,$A211,'Plant BD'!$AE:$AE)),"")</f>
        <v/>
      </c>
      <c r="P211" s="134"/>
      <c r="Q211" s="135"/>
      <c r="R211" s="134" t="str">
        <f>IFERROR(1-SUMIF('Grid BD'!$H:$H,$A211,'Grid BD'!$AD:$AD)/($AA211+SUMIF('Grid BD'!$H:$H,$A211,'Grid BD'!$AD:$AD)),"")</f>
        <v/>
      </c>
      <c r="T211" s="135"/>
      <c r="U211" s="136" t="str">
        <f t="shared" si="13"/>
        <v/>
      </c>
      <c r="V211" s="136"/>
      <c r="W211" s="137" t="str">
        <f t="shared" si="14"/>
        <v/>
      </c>
      <c r="X211" s="130" t="str">
        <f>IFERROR(_xlfn.XLOOKUP($A211,'Raw Data'!$G:$G,'Raw Data'!AI:AI),"")</f>
        <v/>
      </c>
      <c r="Y211" s="130" t="str">
        <f>IFERROR(_xlfn.XLOOKUP($A211,'Raw Data'!$G:$G,'Raw Data'!AJ:AJ),"")</f>
        <v/>
      </c>
      <c r="Z211" s="130" t="str">
        <f>IFERROR(_xlfn.XLOOKUP($A211,'Raw Data'!$G:$G,'Raw Data'!AK:AK),"")</f>
        <v/>
      </c>
      <c r="AA211" s="130" t="str">
        <f>IFERROR(_xlfn.XLOOKUP($A211,'Raw Data'!$G:$G,'Raw Data'!AL:AL),"")</f>
        <v/>
      </c>
      <c r="AB211" s="130" t="str">
        <f>IFERROR(_xlfn.XLOOKUP($A211,'Raw Data'!$G:$G,'Raw Data'!H:H),"")</f>
        <v/>
      </c>
      <c r="AC211" s="76">
        <f>IFERROR(_xlfn.XLOOKUP($D211,'Modelling New'!$D:$D,'Modelling New'!P:P),"")</f>
        <v>5.1225806451612907</v>
      </c>
      <c r="AD211" s="130">
        <f>IFERROR(_xlfn.XLOOKUP($D211,'Modelling New'!$D:$D,'Modelling New'!$T:$T)*1000,"")</f>
        <v>29797.679316907321</v>
      </c>
      <c r="AE211" s="138">
        <f>IFERROR(_xlfn.XLOOKUP($D211,'Modelling New'!$D:$D,'Modelling New'!O:O),"")</f>
        <v>0.72522127474099773</v>
      </c>
      <c r="AF211" s="137">
        <f>IFERROR(_xlfn.XLOOKUP($D211,'Modelling New'!$D:$D,'Modelling New'!W:W),"")</f>
        <v>0.1547918527269764</v>
      </c>
      <c r="AG211" s="137">
        <f>IFERROR(_xlfn.XLOOKUP($D211,'Modelling New'!$D:$D,'Modelling New'!AE:AE),"")</f>
        <v>0.98040000000000005</v>
      </c>
      <c r="AH211" s="156">
        <f>IFERROR(_xlfn.XLOOKUP($D211,'Modelling New'!$D:$D,'Modelling New'!AF:AF),"")</f>
        <v>0.98</v>
      </c>
      <c r="AN211" s="134"/>
      <c r="AO211" s="137"/>
      <c r="AP211" s="137"/>
      <c r="AQ211" s="137"/>
      <c r="AR211" s="130">
        <f>'Basic Data'!$B$98/1000</f>
        <v>8.0208999999999993</v>
      </c>
    </row>
    <row r="212" spans="1:44" x14ac:dyDescent="0.3">
      <c r="A212" s="129">
        <f t="shared" si="15"/>
        <v>45955</v>
      </c>
      <c r="B212" s="130">
        <f>YEAR(Table13[[#This Row],[Date]])+IF(MONTH(Table13[[#This Row],[Date]])&gt;=4,1,0)</f>
        <v>2026</v>
      </c>
      <c r="C212" s="7">
        <f>YEAR(Table13[[#This Row],[Date]])</f>
        <v>2025</v>
      </c>
      <c r="D212" s="131">
        <f>Table13[[#This Row],[Date]]-DAY(Table13[[#This Row],[Date]])+1</f>
        <v>45931</v>
      </c>
      <c r="E212" s="7">
        <f t="shared" si="12"/>
        <v>31</v>
      </c>
      <c r="F212" s="132" t="str">
        <f>IFERROR(_xlfn.XLOOKUP($A212,'Raw Data'!$G:$G,'Raw Data'!$AM:$AM),"")</f>
        <v/>
      </c>
      <c r="G212" s="133" t="str">
        <f>IFERROR(_xlfn.XLOOKUP($A212,'Raw Data'!$G:$G,'Raw Data'!$AB:$AB),"")</f>
        <v/>
      </c>
      <c r="H212" s="133"/>
      <c r="I212" s="133" t="str">
        <f>IFERROR(_xlfn.XLOOKUP($A212,'Raw Data'!$G:$G,'Raw Data'!$AC:$AC),"")</f>
        <v/>
      </c>
      <c r="J212" s="133"/>
      <c r="K212" s="133" t="str">
        <f>IFERROR(_xlfn.XLOOKUP($A212,'Raw Data'!$G:$G,'Raw Data'!AD:AD),"")</f>
        <v/>
      </c>
      <c r="L212" s="133" t="str">
        <f>IFERROR(_xlfn.XLOOKUP($A212,'Raw Data'!$G:$G,'Raw Data'!AE:AE),"")</f>
        <v/>
      </c>
      <c r="M212" s="133" t="str">
        <f>IFERROR(_xlfn.XLOOKUP($A212,'Raw Data'!$G:$G,'Raw Data'!AF:AF),"")</f>
        <v/>
      </c>
      <c r="N212" s="133" t="str">
        <f>IFERROR(_xlfn.XLOOKUP($A212,'Raw Data'!$G:$G,'Raw Data'!AG:AG),"")</f>
        <v/>
      </c>
      <c r="O212" s="134" t="str">
        <f>IFERROR(1-SUMIF('Plant BD'!$H:$H,$A212,'Plant BD'!$AE:$AE)/($AA212+SUMIF('Plant BD'!$H:$H,$A212,'Plant BD'!$AE:$AE)),"")</f>
        <v/>
      </c>
      <c r="P212" s="134"/>
      <c r="Q212" s="135"/>
      <c r="R212" s="134" t="str">
        <f>IFERROR(1-SUMIF('Grid BD'!$H:$H,$A212,'Grid BD'!$AD:$AD)/($AA212+SUMIF('Grid BD'!$H:$H,$A212,'Grid BD'!$AD:$AD)),"")</f>
        <v/>
      </c>
      <c r="T212" s="135"/>
      <c r="U212" s="136" t="str">
        <f t="shared" si="13"/>
        <v/>
      </c>
      <c r="V212" s="136"/>
      <c r="W212" s="137" t="str">
        <f t="shared" si="14"/>
        <v/>
      </c>
      <c r="X212" s="130" t="str">
        <f>IFERROR(_xlfn.XLOOKUP($A212,'Raw Data'!$G:$G,'Raw Data'!AI:AI),"")</f>
        <v/>
      </c>
      <c r="Y212" s="130" t="str">
        <f>IFERROR(_xlfn.XLOOKUP($A212,'Raw Data'!$G:$G,'Raw Data'!AJ:AJ),"")</f>
        <v/>
      </c>
      <c r="Z212" s="130" t="str">
        <f>IFERROR(_xlfn.XLOOKUP($A212,'Raw Data'!$G:$G,'Raw Data'!AK:AK),"")</f>
        <v/>
      </c>
      <c r="AA212" s="130" t="str">
        <f>IFERROR(_xlfn.XLOOKUP($A212,'Raw Data'!$G:$G,'Raw Data'!AL:AL),"")</f>
        <v/>
      </c>
      <c r="AB212" s="130" t="str">
        <f>IFERROR(_xlfn.XLOOKUP($A212,'Raw Data'!$G:$G,'Raw Data'!H:H),"")</f>
        <v/>
      </c>
      <c r="AC212" s="76">
        <f>IFERROR(_xlfn.XLOOKUP($D212,'Modelling New'!$D:$D,'Modelling New'!P:P),"")</f>
        <v>5.1225806451612907</v>
      </c>
      <c r="AD212" s="130">
        <f>IFERROR(_xlfn.XLOOKUP($D212,'Modelling New'!$D:$D,'Modelling New'!$T:$T)*1000,"")</f>
        <v>29797.679316907321</v>
      </c>
      <c r="AE212" s="138">
        <f>IFERROR(_xlfn.XLOOKUP($D212,'Modelling New'!$D:$D,'Modelling New'!O:O),"")</f>
        <v>0.72522127474099773</v>
      </c>
      <c r="AF212" s="137">
        <f>IFERROR(_xlfn.XLOOKUP($D212,'Modelling New'!$D:$D,'Modelling New'!W:W),"")</f>
        <v>0.1547918527269764</v>
      </c>
      <c r="AG212" s="137">
        <f>IFERROR(_xlfn.XLOOKUP($D212,'Modelling New'!$D:$D,'Modelling New'!AE:AE),"")</f>
        <v>0.98040000000000005</v>
      </c>
      <c r="AH212" s="156">
        <f>IFERROR(_xlfn.XLOOKUP($D212,'Modelling New'!$D:$D,'Modelling New'!AF:AF),"")</f>
        <v>0.98</v>
      </c>
      <c r="AN212" s="134"/>
      <c r="AO212" s="137"/>
      <c r="AP212" s="137"/>
      <c r="AQ212" s="137"/>
      <c r="AR212" s="130">
        <f>'Basic Data'!$B$98/1000</f>
        <v>8.0208999999999993</v>
      </c>
    </row>
    <row r="213" spans="1:44" x14ac:dyDescent="0.3">
      <c r="A213" s="129">
        <f t="shared" si="15"/>
        <v>45956</v>
      </c>
      <c r="B213" s="130">
        <f>YEAR(Table13[[#This Row],[Date]])+IF(MONTH(Table13[[#This Row],[Date]])&gt;=4,1,0)</f>
        <v>2026</v>
      </c>
      <c r="C213" s="7">
        <f>YEAR(Table13[[#This Row],[Date]])</f>
        <v>2025</v>
      </c>
      <c r="D213" s="131">
        <f>Table13[[#This Row],[Date]]-DAY(Table13[[#This Row],[Date]])+1</f>
        <v>45931</v>
      </c>
      <c r="E213" s="7">
        <f t="shared" si="12"/>
        <v>31</v>
      </c>
      <c r="F213" s="132" t="str">
        <f>IFERROR(_xlfn.XLOOKUP($A213,'Raw Data'!$G:$G,'Raw Data'!$AM:$AM),"")</f>
        <v/>
      </c>
      <c r="G213" s="133" t="str">
        <f>IFERROR(_xlfn.XLOOKUP($A213,'Raw Data'!$G:$G,'Raw Data'!$AB:$AB),"")</f>
        <v/>
      </c>
      <c r="H213" s="133"/>
      <c r="I213" s="133" t="str">
        <f>IFERROR(_xlfn.XLOOKUP($A213,'Raw Data'!$G:$G,'Raw Data'!$AC:$AC),"")</f>
        <v/>
      </c>
      <c r="J213" s="133"/>
      <c r="K213" s="133" t="str">
        <f>IFERROR(_xlfn.XLOOKUP($A213,'Raw Data'!$G:$G,'Raw Data'!AD:AD),"")</f>
        <v/>
      </c>
      <c r="L213" s="133" t="str">
        <f>IFERROR(_xlfn.XLOOKUP($A213,'Raw Data'!$G:$G,'Raw Data'!AE:AE),"")</f>
        <v/>
      </c>
      <c r="M213" s="133" t="str">
        <f>IFERROR(_xlfn.XLOOKUP($A213,'Raw Data'!$G:$G,'Raw Data'!AF:AF),"")</f>
        <v/>
      </c>
      <c r="N213" s="133" t="str">
        <f>IFERROR(_xlfn.XLOOKUP($A213,'Raw Data'!$G:$G,'Raw Data'!AG:AG),"")</f>
        <v/>
      </c>
      <c r="O213" s="134" t="str">
        <f>IFERROR(1-SUMIF('Plant BD'!$H:$H,$A213,'Plant BD'!$AE:$AE)/($AA213+SUMIF('Plant BD'!$H:$H,$A213,'Plant BD'!$AE:$AE)),"")</f>
        <v/>
      </c>
      <c r="P213" s="134"/>
      <c r="Q213" s="135"/>
      <c r="R213" s="134" t="str">
        <f>IFERROR(1-SUMIF('Grid BD'!$H:$H,$A213,'Grid BD'!$AD:$AD)/($AA213+SUMIF('Grid BD'!$H:$H,$A213,'Grid BD'!$AD:$AD)),"")</f>
        <v/>
      </c>
      <c r="T213" s="135"/>
      <c r="U213" s="136" t="str">
        <f t="shared" si="13"/>
        <v/>
      </c>
      <c r="V213" s="136"/>
      <c r="W213" s="137" t="str">
        <f t="shared" si="14"/>
        <v/>
      </c>
      <c r="X213" s="130" t="str">
        <f>IFERROR(_xlfn.XLOOKUP($A213,'Raw Data'!$G:$G,'Raw Data'!AI:AI),"")</f>
        <v/>
      </c>
      <c r="Y213" s="130" t="str">
        <f>IFERROR(_xlfn.XLOOKUP($A213,'Raw Data'!$G:$G,'Raw Data'!AJ:AJ),"")</f>
        <v/>
      </c>
      <c r="Z213" s="130" t="str">
        <f>IFERROR(_xlfn.XLOOKUP($A213,'Raw Data'!$G:$G,'Raw Data'!AK:AK),"")</f>
        <v/>
      </c>
      <c r="AA213" s="130" t="str">
        <f>IFERROR(_xlfn.XLOOKUP($A213,'Raw Data'!$G:$G,'Raw Data'!AL:AL),"")</f>
        <v/>
      </c>
      <c r="AB213" s="130" t="str">
        <f>IFERROR(_xlfn.XLOOKUP($A213,'Raw Data'!$G:$G,'Raw Data'!H:H),"")</f>
        <v/>
      </c>
      <c r="AC213" s="76">
        <f>IFERROR(_xlfn.XLOOKUP($D213,'Modelling New'!$D:$D,'Modelling New'!P:P),"")</f>
        <v>5.1225806451612907</v>
      </c>
      <c r="AD213" s="130">
        <f>IFERROR(_xlfn.XLOOKUP($D213,'Modelling New'!$D:$D,'Modelling New'!$T:$T)*1000,"")</f>
        <v>29797.679316907321</v>
      </c>
      <c r="AE213" s="138">
        <f>IFERROR(_xlfn.XLOOKUP($D213,'Modelling New'!$D:$D,'Modelling New'!O:O),"")</f>
        <v>0.72522127474099773</v>
      </c>
      <c r="AF213" s="137">
        <f>IFERROR(_xlfn.XLOOKUP($D213,'Modelling New'!$D:$D,'Modelling New'!W:W),"")</f>
        <v>0.1547918527269764</v>
      </c>
      <c r="AG213" s="137">
        <f>IFERROR(_xlfn.XLOOKUP($D213,'Modelling New'!$D:$D,'Modelling New'!AE:AE),"")</f>
        <v>0.98040000000000005</v>
      </c>
      <c r="AH213" s="156">
        <f>IFERROR(_xlfn.XLOOKUP($D213,'Modelling New'!$D:$D,'Modelling New'!AF:AF),"")</f>
        <v>0.98</v>
      </c>
      <c r="AN213" s="134"/>
      <c r="AO213" s="137"/>
      <c r="AP213" s="137"/>
      <c r="AQ213" s="137"/>
      <c r="AR213" s="130">
        <f>'Basic Data'!$B$98/1000</f>
        <v>8.0208999999999993</v>
      </c>
    </row>
    <row r="214" spans="1:44" x14ac:dyDescent="0.3">
      <c r="A214" s="129">
        <f t="shared" si="15"/>
        <v>45957</v>
      </c>
      <c r="B214" s="130">
        <f>YEAR(Table13[[#This Row],[Date]])+IF(MONTH(Table13[[#This Row],[Date]])&gt;=4,1,0)</f>
        <v>2026</v>
      </c>
      <c r="C214" s="7">
        <f>YEAR(Table13[[#This Row],[Date]])</f>
        <v>2025</v>
      </c>
      <c r="D214" s="131">
        <f>Table13[[#This Row],[Date]]-DAY(Table13[[#This Row],[Date]])+1</f>
        <v>45931</v>
      </c>
      <c r="E214" s="7">
        <f t="shared" si="12"/>
        <v>31</v>
      </c>
      <c r="F214" s="132" t="str">
        <f>IFERROR(_xlfn.XLOOKUP($A214,'Raw Data'!$G:$G,'Raw Data'!$AM:$AM),"")</f>
        <v/>
      </c>
      <c r="G214" s="133" t="str">
        <f>IFERROR(_xlfn.XLOOKUP($A214,'Raw Data'!$G:$G,'Raw Data'!$AB:$AB),"")</f>
        <v/>
      </c>
      <c r="H214" s="133"/>
      <c r="I214" s="133" t="str">
        <f>IFERROR(_xlfn.XLOOKUP($A214,'Raw Data'!$G:$G,'Raw Data'!$AC:$AC),"")</f>
        <v/>
      </c>
      <c r="J214" s="133"/>
      <c r="K214" s="133" t="str">
        <f>IFERROR(_xlfn.XLOOKUP($A214,'Raw Data'!$G:$G,'Raw Data'!AD:AD),"")</f>
        <v/>
      </c>
      <c r="L214" s="133" t="str">
        <f>IFERROR(_xlfn.XLOOKUP($A214,'Raw Data'!$G:$G,'Raw Data'!AE:AE),"")</f>
        <v/>
      </c>
      <c r="M214" s="133" t="str">
        <f>IFERROR(_xlfn.XLOOKUP($A214,'Raw Data'!$G:$G,'Raw Data'!AF:AF),"")</f>
        <v/>
      </c>
      <c r="N214" s="133" t="str">
        <f>IFERROR(_xlfn.XLOOKUP($A214,'Raw Data'!$G:$G,'Raw Data'!AG:AG),"")</f>
        <v/>
      </c>
      <c r="O214" s="134" t="str">
        <f>IFERROR(1-SUMIF('Plant BD'!$H:$H,$A214,'Plant BD'!$AE:$AE)/($AA214+SUMIF('Plant BD'!$H:$H,$A214,'Plant BD'!$AE:$AE)),"")</f>
        <v/>
      </c>
      <c r="P214" s="134"/>
      <c r="Q214" s="135"/>
      <c r="R214" s="134" t="str">
        <f>IFERROR(1-SUMIF('Grid BD'!$H:$H,$A214,'Grid BD'!$AD:$AD)/($AA214+SUMIF('Grid BD'!$H:$H,$A214,'Grid BD'!$AD:$AD)),"")</f>
        <v/>
      </c>
      <c r="T214" s="135"/>
      <c r="U214" s="136" t="str">
        <f t="shared" si="13"/>
        <v/>
      </c>
      <c r="V214" s="136"/>
      <c r="W214" s="137" t="str">
        <f t="shared" si="14"/>
        <v/>
      </c>
      <c r="X214" s="130" t="str">
        <f>IFERROR(_xlfn.XLOOKUP($A214,'Raw Data'!$G:$G,'Raw Data'!AI:AI),"")</f>
        <v/>
      </c>
      <c r="Y214" s="130" t="str">
        <f>IFERROR(_xlfn.XLOOKUP($A214,'Raw Data'!$G:$G,'Raw Data'!AJ:AJ),"")</f>
        <v/>
      </c>
      <c r="Z214" s="130" t="str">
        <f>IFERROR(_xlfn.XLOOKUP($A214,'Raw Data'!$G:$G,'Raw Data'!AK:AK),"")</f>
        <v/>
      </c>
      <c r="AA214" s="130" t="str">
        <f>IFERROR(_xlfn.XLOOKUP($A214,'Raw Data'!$G:$G,'Raw Data'!AL:AL),"")</f>
        <v/>
      </c>
      <c r="AB214" s="130" t="str">
        <f>IFERROR(_xlfn.XLOOKUP($A214,'Raw Data'!$G:$G,'Raw Data'!H:H),"")</f>
        <v/>
      </c>
      <c r="AC214" s="76">
        <f>IFERROR(_xlfn.XLOOKUP($D214,'Modelling New'!$D:$D,'Modelling New'!P:P),"")</f>
        <v>5.1225806451612907</v>
      </c>
      <c r="AD214" s="130">
        <f>IFERROR(_xlfn.XLOOKUP($D214,'Modelling New'!$D:$D,'Modelling New'!$T:$T)*1000,"")</f>
        <v>29797.679316907321</v>
      </c>
      <c r="AE214" s="138">
        <f>IFERROR(_xlfn.XLOOKUP($D214,'Modelling New'!$D:$D,'Modelling New'!O:O),"")</f>
        <v>0.72522127474099773</v>
      </c>
      <c r="AF214" s="137">
        <f>IFERROR(_xlfn.XLOOKUP($D214,'Modelling New'!$D:$D,'Modelling New'!W:W),"")</f>
        <v>0.1547918527269764</v>
      </c>
      <c r="AG214" s="137">
        <f>IFERROR(_xlfn.XLOOKUP($D214,'Modelling New'!$D:$D,'Modelling New'!AE:AE),"")</f>
        <v>0.98040000000000005</v>
      </c>
      <c r="AH214" s="156">
        <f>IFERROR(_xlfn.XLOOKUP($D214,'Modelling New'!$D:$D,'Modelling New'!AF:AF),"")</f>
        <v>0.98</v>
      </c>
      <c r="AN214" s="134"/>
      <c r="AO214" s="137"/>
      <c r="AP214" s="137"/>
      <c r="AQ214" s="137"/>
      <c r="AR214" s="130">
        <f>'Basic Data'!$B$98/1000</f>
        <v>8.0208999999999993</v>
      </c>
    </row>
    <row r="215" spans="1:44" x14ac:dyDescent="0.3">
      <c r="A215" s="129">
        <f t="shared" si="15"/>
        <v>45958</v>
      </c>
      <c r="B215" s="130">
        <f>YEAR(Table13[[#This Row],[Date]])+IF(MONTH(Table13[[#This Row],[Date]])&gt;=4,1,0)</f>
        <v>2026</v>
      </c>
      <c r="C215" s="7">
        <f>YEAR(Table13[[#This Row],[Date]])</f>
        <v>2025</v>
      </c>
      <c r="D215" s="131">
        <f>Table13[[#This Row],[Date]]-DAY(Table13[[#This Row],[Date]])+1</f>
        <v>45931</v>
      </c>
      <c r="E215" s="7">
        <f t="shared" si="12"/>
        <v>31</v>
      </c>
      <c r="F215" s="132" t="str">
        <f>IFERROR(_xlfn.XLOOKUP($A215,'Raw Data'!$G:$G,'Raw Data'!$AM:$AM),"")</f>
        <v/>
      </c>
      <c r="G215" s="133" t="str">
        <f>IFERROR(_xlfn.XLOOKUP($A215,'Raw Data'!$G:$G,'Raw Data'!$AB:$AB),"")</f>
        <v/>
      </c>
      <c r="H215" s="133"/>
      <c r="I215" s="133" t="str">
        <f>IFERROR(_xlfn.XLOOKUP($A215,'Raw Data'!$G:$G,'Raw Data'!$AC:$AC),"")</f>
        <v/>
      </c>
      <c r="J215" s="133"/>
      <c r="K215" s="133" t="str">
        <f>IFERROR(_xlfn.XLOOKUP($A215,'Raw Data'!$G:$G,'Raw Data'!AD:AD),"")</f>
        <v/>
      </c>
      <c r="L215" s="133" t="str">
        <f>IFERROR(_xlfn.XLOOKUP($A215,'Raw Data'!$G:$G,'Raw Data'!AE:AE),"")</f>
        <v/>
      </c>
      <c r="M215" s="133" t="str">
        <f>IFERROR(_xlfn.XLOOKUP($A215,'Raw Data'!$G:$G,'Raw Data'!AF:AF),"")</f>
        <v/>
      </c>
      <c r="N215" s="133" t="str">
        <f>IFERROR(_xlfn.XLOOKUP($A215,'Raw Data'!$G:$G,'Raw Data'!AG:AG),"")</f>
        <v/>
      </c>
      <c r="O215" s="134" t="str">
        <f>IFERROR(1-SUMIF('Plant BD'!$H:$H,$A215,'Plant BD'!$AE:$AE)/($AA215+SUMIF('Plant BD'!$H:$H,$A215,'Plant BD'!$AE:$AE)),"")</f>
        <v/>
      </c>
      <c r="P215" s="134"/>
      <c r="Q215" s="135"/>
      <c r="R215" s="134" t="str">
        <f>IFERROR(1-SUMIF('Grid BD'!$H:$H,$A215,'Grid BD'!$AD:$AD)/($AA215+SUMIF('Grid BD'!$H:$H,$A215,'Grid BD'!$AD:$AD)),"")</f>
        <v/>
      </c>
      <c r="T215" s="135"/>
      <c r="U215" s="136" t="str">
        <f t="shared" si="13"/>
        <v/>
      </c>
      <c r="V215" s="136"/>
      <c r="W215" s="137" t="str">
        <f t="shared" si="14"/>
        <v/>
      </c>
      <c r="X215" s="130" t="str">
        <f>IFERROR(_xlfn.XLOOKUP($A215,'Raw Data'!$G:$G,'Raw Data'!AI:AI),"")</f>
        <v/>
      </c>
      <c r="Y215" s="130" t="str">
        <f>IFERROR(_xlfn.XLOOKUP($A215,'Raw Data'!$G:$G,'Raw Data'!AJ:AJ),"")</f>
        <v/>
      </c>
      <c r="Z215" s="130" t="str">
        <f>IFERROR(_xlfn.XLOOKUP($A215,'Raw Data'!$G:$G,'Raw Data'!AK:AK),"")</f>
        <v/>
      </c>
      <c r="AA215" s="130" t="str">
        <f>IFERROR(_xlfn.XLOOKUP($A215,'Raw Data'!$G:$G,'Raw Data'!AL:AL),"")</f>
        <v/>
      </c>
      <c r="AB215" s="130" t="str">
        <f>IFERROR(_xlfn.XLOOKUP($A215,'Raw Data'!$G:$G,'Raw Data'!H:H),"")</f>
        <v/>
      </c>
      <c r="AC215" s="76">
        <f>IFERROR(_xlfn.XLOOKUP($D215,'Modelling New'!$D:$D,'Modelling New'!P:P),"")</f>
        <v>5.1225806451612907</v>
      </c>
      <c r="AD215" s="130">
        <f>IFERROR(_xlfn.XLOOKUP($D215,'Modelling New'!$D:$D,'Modelling New'!$T:$T)*1000,"")</f>
        <v>29797.679316907321</v>
      </c>
      <c r="AE215" s="138">
        <f>IFERROR(_xlfn.XLOOKUP($D215,'Modelling New'!$D:$D,'Modelling New'!O:O),"")</f>
        <v>0.72522127474099773</v>
      </c>
      <c r="AF215" s="137">
        <f>IFERROR(_xlfn.XLOOKUP($D215,'Modelling New'!$D:$D,'Modelling New'!W:W),"")</f>
        <v>0.1547918527269764</v>
      </c>
      <c r="AG215" s="137">
        <f>IFERROR(_xlfn.XLOOKUP($D215,'Modelling New'!$D:$D,'Modelling New'!AE:AE),"")</f>
        <v>0.98040000000000005</v>
      </c>
      <c r="AH215" s="156">
        <f>IFERROR(_xlfn.XLOOKUP($D215,'Modelling New'!$D:$D,'Modelling New'!AF:AF),"")</f>
        <v>0.98</v>
      </c>
      <c r="AN215" s="134"/>
      <c r="AO215" s="137"/>
      <c r="AP215" s="137"/>
      <c r="AQ215" s="137"/>
      <c r="AR215" s="130">
        <f>'Basic Data'!$B$98/1000</f>
        <v>8.0208999999999993</v>
      </c>
    </row>
    <row r="216" spans="1:44" x14ac:dyDescent="0.3">
      <c r="A216" s="129">
        <f t="shared" si="15"/>
        <v>45959</v>
      </c>
      <c r="B216" s="130">
        <f>YEAR(Table13[[#This Row],[Date]])+IF(MONTH(Table13[[#This Row],[Date]])&gt;=4,1,0)</f>
        <v>2026</v>
      </c>
      <c r="C216" s="7">
        <f>YEAR(Table13[[#This Row],[Date]])</f>
        <v>2025</v>
      </c>
      <c r="D216" s="131">
        <f>Table13[[#This Row],[Date]]-DAY(Table13[[#This Row],[Date]])+1</f>
        <v>45931</v>
      </c>
      <c r="E216" s="7">
        <f t="shared" si="12"/>
        <v>31</v>
      </c>
      <c r="F216" s="132" t="str">
        <f>IFERROR(_xlfn.XLOOKUP($A216,'Raw Data'!$G:$G,'Raw Data'!$AM:$AM),"")</f>
        <v/>
      </c>
      <c r="G216" s="133" t="str">
        <f>IFERROR(_xlfn.XLOOKUP($A216,'Raw Data'!$G:$G,'Raw Data'!$AB:$AB),"")</f>
        <v/>
      </c>
      <c r="H216" s="133"/>
      <c r="I216" s="133" t="str">
        <f>IFERROR(_xlfn.XLOOKUP($A216,'Raw Data'!$G:$G,'Raw Data'!$AC:$AC),"")</f>
        <v/>
      </c>
      <c r="J216" s="133"/>
      <c r="K216" s="133" t="str">
        <f>IFERROR(_xlfn.XLOOKUP($A216,'Raw Data'!$G:$G,'Raw Data'!AD:AD),"")</f>
        <v/>
      </c>
      <c r="L216" s="133" t="str">
        <f>IFERROR(_xlfn.XLOOKUP($A216,'Raw Data'!$G:$G,'Raw Data'!AE:AE),"")</f>
        <v/>
      </c>
      <c r="M216" s="133" t="str">
        <f>IFERROR(_xlfn.XLOOKUP($A216,'Raw Data'!$G:$G,'Raw Data'!AF:AF),"")</f>
        <v/>
      </c>
      <c r="N216" s="133" t="str">
        <f>IFERROR(_xlfn.XLOOKUP($A216,'Raw Data'!$G:$G,'Raw Data'!AG:AG),"")</f>
        <v/>
      </c>
      <c r="O216" s="134" t="str">
        <f>IFERROR(1-SUMIF('Plant BD'!$H:$H,$A216,'Plant BD'!$AE:$AE)/($AA216+SUMIF('Plant BD'!$H:$H,$A216,'Plant BD'!$AE:$AE)),"")</f>
        <v/>
      </c>
      <c r="P216" s="134"/>
      <c r="Q216" s="135"/>
      <c r="R216" s="134" t="str">
        <f>IFERROR(1-SUMIF('Grid BD'!$H:$H,$A216,'Grid BD'!$AD:$AD)/($AA216+SUMIF('Grid BD'!$H:$H,$A216,'Grid BD'!$AD:$AD)),"")</f>
        <v/>
      </c>
      <c r="T216" s="135"/>
      <c r="U216" s="136" t="str">
        <f t="shared" si="13"/>
        <v/>
      </c>
      <c r="V216" s="136"/>
      <c r="W216" s="137" t="str">
        <f t="shared" si="14"/>
        <v/>
      </c>
      <c r="X216" s="130" t="str">
        <f>IFERROR(_xlfn.XLOOKUP($A216,'Raw Data'!$G:$G,'Raw Data'!AI:AI),"")</f>
        <v/>
      </c>
      <c r="Y216" s="130" t="str">
        <f>IFERROR(_xlfn.XLOOKUP($A216,'Raw Data'!$G:$G,'Raw Data'!AJ:AJ),"")</f>
        <v/>
      </c>
      <c r="Z216" s="130" t="str">
        <f>IFERROR(_xlfn.XLOOKUP($A216,'Raw Data'!$G:$G,'Raw Data'!AK:AK),"")</f>
        <v/>
      </c>
      <c r="AA216" s="130" t="str">
        <f>IFERROR(_xlfn.XLOOKUP($A216,'Raw Data'!$G:$G,'Raw Data'!AL:AL),"")</f>
        <v/>
      </c>
      <c r="AB216" s="130" t="str">
        <f>IFERROR(_xlfn.XLOOKUP($A216,'Raw Data'!$G:$G,'Raw Data'!H:H),"")</f>
        <v/>
      </c>
      <c r="AC216" s="76">
        <f>IFERROR(_xlfn.XLOOKUP($D216,'Modelling New'!$D:$D,'Modelling New'!P:P),"")</f>
        <v>5.1225806451612907</v>
      </c>
      <c r="AD216" s="130">
        <f>IFERROR(_xlfn.XLOOKUP($D216,'Modelling New'!$D:$D,'Modelling New'!$T:$T)*1000,"")</f>
        <v>29797.679316907321</v>
      </c>
      <c r="AE216" s="138">
        <f>IFERROR(_xlfn.XLOOKUP($D216,'Modelling New'!$D:$D,'Modelling New'!O:O),"")</f>
        <v>0.72522127474099773</v>
      </c>
      <c r="AF216" s="137">
        <f>IFERROR(_xlfn.XLOOKUP($D216,'Modelling New'!$D:$D,'Modelling New'!W:W),"")</f>
        <v>0.1547918527269764</v>
      </c>
      <c r="AG216" s="137">
        <f>IFERROR(_xlfn.XLOOKUP($D216,'Modelling New'!$D:$D,'Modelling New'!AE:AE),"")</f>
        <v>0.98040000000000005</v>
      </c>
      <c r="AH216" s="156">
        <f>IFERROR(_xlfn.XLOOKUP($D216,'Modelling New'!$D:$D,'Modelling New'!AF:AF),"")</f>
        <v>0.98</v>
      </c>
      <c r="AN216" s="134"/>
      <c r="AO216" s="137"/>
      <c r="AP216" s="137"/>
      <c r="AQ216" s="137"/>
      <c r="AR216" s="130">
        <f>'Basic Data'!$B$98/1000</f>
        <v>8.0208999999999993</v>
      </c>
    </row>
    <row r="217" spans="1:44" x14ac:dyDescent="0.3">
      <c r="A217" s="129">
        <f t="shared" si="15"/>
        <v>45960</v>
      </c>
      <c r="B217" s="130">
        <f>YEAR(Table13[[#This Row],[Date]])+IF(MONTH(Table13[[#This Row],[Date]])&gt;=4,1,0)</f>
        <v>2026</v>
      </c>
      <c r="C217" s="7">
        <f>YEAR(Table13[[#This Row],[Date]])</f>
        <v>2025</v>
      </c>
      <c r="D217" s="131">
        <f>Table13[[#This Row],[Date]]-DAY(Table13[[#This Row],[Date]])+1</f>
        <v>45931</v>
      </c>
      <c r="E217" s="7">
        <f t="shared" si="12"/>
        <v>31</v>
      </c>
      <c r="F217" s="132" t="str">
        <f>IFERROR(_xlfn.XLOOKUP($A217,'Raw Data'!$G:$G,'Raw Data'!$AM:$AM),"")</f>
        <v/>
      </c>
      <c r="G217" s="133" t="str">
        <f>IFERROR(_xlfn.XLOOKUP($A217,'Raw Data'!$G:$G,'Raw Data'!$AB:$AB),"")</f>
        <v/>
      </c>
      <c r="H217" s="133"/>
      <c r="I217" s="133" t="str">
        <f>IFERROR(_xlfn.XLOOKUP($A217,'Raw Data'!$G:$G,'Raw Data'!$AC:$AC),"")</f>
        <v/>
      </c>
      <c r="J217" s="133"/>
      <c r="K217" s="133" t="str">
        <f>IFERROR(_xlfn.XLOOKUP($A217,'Raw Data'!$G:$G,'Raw Data'!AD:AD),"")</f>
        <v/>
      </c>
      <c r="L217" s="133" t="str">
        <f>IFERROR(_xlfn.XLOOKUP($A217,'Raw Data'!$G:$G,'Raw Data'!AE:AE),"")</f>
        <v/>
      </c>
      <c r="M217" s="133" t="str">
        <f>IFERROR(_xlfn.XLOOKUP($A217,'Raw Data'!$G:$G,'Raw Data'!AF:AF),"")</f>
        <v/>
      </c>
      <c r="N217" s="133" t="str">
        <f>IFERROR(_xlfn.XLOOKUP($A217,'Raw Data'!$G:$G,'Raw Data'!AG:AG),"")</f>
        <v/>
      </c>
      <c r="O217" s="134" t="str">
        <f>IFERROR(1-SUMIF('Plant BD'!$H:$H,$A217,'Plant BD'!$AE:$AE)/($AA217+SUMIF('Plant BD'!$H:$H,$A217,'Plant BD'!$AE:$AE)),"")</f>
        <v/>
      </c>
      <c r="P217" s="134"/>
      <c r="Q217" s="135"/>
      <c r="R217" s="134" t="str">
        <f>IFERROR(1-SUMIF('Grid BD'!$H:$H,$A217,'Grid BD'!$AD:$AD)/($AA217+SUMIF('Grid BD'!$H:$H,$A217,'Grid BD'!$AD:$AD)),"")</f>
        <v/>
      </c>
      <c r="T217" s="135"/>
      <c r="U217" s="136" t="str">
        <f t="shared" si="13"/>
        <v/>
      </c>
      <c r="V217" s="136"/>
      <c r="W217" s="137" t="str">
        <f t="shared" si="14"/>
        <v/>
      </c>
      <c r="X217" s="130" t="str">
        <f>IFERROR(_xlfn.XLOOKUP($A217,'Raw Data'!$G:$G,'Raw Data'!AI:AI),"")</f>
        <v/>
      </c>
      <c r="Y217" s="130" t="str">
        <f>IFERROR(_xlfn.XLOOKUP($A217,'Raw Data'!$G:$G,'Raw Data'!AJ:AJ),"")</f>
        <v/>
      </c>
      <c r="Z217" s="130" t="str">
        <f>IFERROR(_xlfn.XLOOKUP($A217,'Raw Data'!$G:$G,'Raw Data'!AK:AK),"")</f>
        <v/>
      </c>
      <c r="AA217" s="130" t="str">
        <f>IFERROR(_xlfn.XLOOKUP($A217,'Raw Data'!$G:$G,'Raw Data'!AL:AL),"")</f>
        <v/>
      </c>
      <c r="AB217" s="130" t="str">
        <f>IFERROR(_xlfn.XLOOKUP($A217,'Raw Data'!$G:$G,'Raw Data'!H:H),"")</f>
        <v/>
      </c>
      <c r="AC217" s="76">
        <f>IFERROR(_xlfn.XLOOKUP($D217,'Modelling New'!$D:$D,'Modelling New'!P:P),"")</f>
        <v>5.1225806451612907</v>
      </c>
      <c r="AD217" s="130">
        <f>IFERROR(_xlfn.XLOOKUP($D217,'Modelling New'!$D:$D,'Modelling New'!$T:$T)*1000,"")</f>
        <v>29797.679316907321</v>
      </c>
      <c r="AE217" s="138">
        <f>IFERROR(_xlfn.XLOOKUP($D217,'Modelling New'!$D:$D,'Modelling New'!O:O),"")</f>
        <v>0.72522127474099773</v>
      </c>
      <c r="AF217" s="137">
        <f>IFERROR(_xlfn.XLOOKUP($D217,'Modelling New'!$D:$D,'Modelling New'!W:W),"")</f>
        <v>0.1547918527269764</v>
      </c>
      <c r="AG217" s="137">
        <f>IFERROR(_xlfn.XLOOKUP($D217,'Modelling New'!$D:$D,'Modelling New'!AE:AE),"")</f>
        <v>0.98040000000000005</v>
      </c>
      <c r="AH217" s="156">
        <f>IFERROR(_xlfn.XLOOKUP($D217,'Modelling New'!$D:$D,'Modelling New'!AF:AF),"")</f>
        <v>0.98</v>
      </c>
      <c r="AN217" s="134"/>
      <c r="AO217" s="137"/>
      <c r="AP217" s="137"/>
      <c r="AQ217" s="137"/>
      <c r="AR217" s="130">
        <f>'Basic Data'!$B$98/1000</f>
        <v>8.0208999999999993</v>
      </c>
    </row>
    <row r="218" spans="1:44" x14ac:dyDescent="0.3">
      <c r="A218" s="129">
        <f t="shared" si="15"/>
        <v>45961</v>
      </c>
      <c r="B218" s="130">
        <f>YEAR(Table13[[#This Row],[Date]])+IF(MONTH(Table13[[#This Row],[Date]])&gt;=4,1,0)</f>
        <v>2026</v>
      </c>
      <c r="C218" s="7">
        <f>YEAR(Table13[[#This Row],[Date]])</f>
        <v>2025</v>
      </c>
      <c r="D218" s="131">
        <f>Table13[[#This Row],[Date]]-DAY(Table13[[#This Row],[Date]])+1</f>
        <v>45931</v>
      </c>
      <c r="E218" s="7">
        <f t="shared" si="12"/>
        <v>31</v>
      </c>
      <c r="F218" s="132" t="str">
        <f>IFERROR(_xlfn.XLOOKUP($A218,'Raw Data'!$G:$G,'Raw Data'!$AM:$AM),"")</f>
        <v/>
      </c>
      <c r="G218" s="133" t="str">
        <f>IFERROR(_xlfn.XLOOKUP($A218,'Raw Data'!$G:$G,'Raw Data'!$AB:$AB),"")</f>
        <v/>
      </c>
      <c r="H218" s="133"/>
      <c r="I218" s="133" t="str">
        <f>IFERROR(_xlfn.XLOOKUP($A218,'Raw Data'!$G:$G,'Raw Data'!$AC:$AC),"")</f>
        <v/>
      </c>
      <c r="J218" s="133"/>
      <c r="K218" s="133" t="str">
        <f>IFERROR(_xlfn.XLOOKUP($A218,'Raw Data'!$G:$G,'Raw Data'!AD:AD),"")</f>
        <v/>
      </c>
      <c r="L218" s="133" t="str">
        <f>IFERROR(_xlfn.XLOOKUP($A218,'Raw Data'!$G:$G,'Raw Data'!AE:AE),"")</f>
        <v/>
      </c>
      <c r="M218" s="133" t="str">
        <f>IFERROR(_xlfn.XLOOKUP($A218,'Raw Data'!$G:$G,'Raw Data'!AF:AF),"")</f>
        <v/>
      </c>
      <c r="N218" s="133" t="str">
        <f>IFERROR(_xlfn.XLOOKUP($A218,'Raw Data'!$G:$G,'Raw Data'!AG:AG),"")</f>
        <v/>
      </c>
      <c r="O218" s="134" t="str">
        <f>IFERROR(1-SUMIF('Plant BD'!$H:$H,$A218,'Plant BD'!$AE:$AE)/($AA218+SUMIF('Plant BD'!$H:$H,$A218,'Plant BD'!$AE:$AE)),"")</f>
        <v/>
      </c>
      <c r="P218" s="134"/>
      <c r="Q218" s="135"/>
      <c r="R218" s="134" t="str">
        <f>IFERROR(1-SUMIF('Grid BD'!$H:$H,$A218,'Grid BD'!$AD:$AD)/($AA218+SUMIF('Grid BD'!$H:$H,$A218,'Grid BD'!$AD:$AD)),"")</f>
        <v/>
      </c>
      <c r="T218" s="135"/>
      <c r="U218" s="136" t="str">
        <f t="shared" si="13"/>
        <v/>
      </c>
      <c r="V218" s="136"/>
      <c r="W218" s="137" t="str">
        <f t="shared" si="14"/>
        <v/>
      </c>
      <c r="X218" s="130" t="str">
        <f>IFERROR(_xlfn.XLOOKUP($A218,'Raw Data'!$G:$G,'Raw Data'!AI:AI),"")</f>
        <v/>
      </c>
      <c r="Y218" s="130" t="str">
        <f>IFERROR(_xlfn.XLOOKUP($A218,'Raw Data'!$G:$G,'Raw Data'!AJ:AJ),"")</f>
        <v/>
      </c>
      <c r="Z218" s="130" t="str">
        <f>IFERROR(_xlfn.XLOOKUP($A218,'Raw Data'!$G:$G,'Raw Data'!AK:AK),"")</f>
        <v/>
      </c>
      <c r="AA218" s="130" t="str">
        <f>IFERROR(_xlfn.XLOOKUP($A218,'Raw Data'!$G:$G,'Raw Data'!AL:AL),"")</f>
        <v/>
      </c>
      <c r="AB218" s="130" t="str">
        <f>IFERROR(_xlfn.XLOOKUP($A218,'Raw Data'!$G:$G,'Raw Data'!H:H),"")</f>
        <v/>
      </c>
      <c r="AC218" s="76">
        <f>IFERROR(_xlfn.XLOOKUP($D218,'Modelling New'!$D:$D,'Modelling New'!P:P),"")</f>
        <v>5.1225806451612907</v>
      </c>
      <c r="AD218" s="130">
        <f>IFERROR(_xlfn.XLOOKUP($D218,'Modelling New'!$D:$D,'Modelling New'!$T:$T)*1000,"")</f>
        <v>29797.679316907321</v>
      </c>
      <c r="AE218" s="138">
        <f>IFERROR(_xlfn.XLOOKUP($D218,'Modelling New'!$D:$D,'Modelling New'!O:O),"")</f>
        <v>0.72522127474099773</v>
      </c>
      <c r="AF218" s="137">
        <f>IFERROR(_xlfn.XLOOKUP($D218,'Modelling New'!$D:$D,'Modelling New'!W:W),"")</f>
        <v>0.1547918527269764</v>
      </c>
      <c r="AG218" s="137">
        <f>IFERROR(_xlfn.XLOOKUP($D218,'Modelling New'!$D:$D,'Modelling New'!AE:AE),"")</f>
        <v>0.98040000000000005</v>
      </c>
      <c r="AH218" s="156">
        <f>IFERROR(_xlfn.XLOOKUP($D218,'Modelling New'!$D:$D,'Modelling New'!AF:AF),"")</f>
        <v>0.98</v>
      </c>
      <c r="AN218" s="134"/>
      <c r="AO218" s="137"/>
      <c r="AP218" s="137"/>
      <c r="AQ218" s="137"/>
      <c r="AR218" s="130">
        <f>'Basic Data'!$B$98/1000</f>
        <v>8.0208999999999993</v>
      </c>
    </row>
    <row r="219" spans="1:44" x14ac:dyDescent="0.3">
      <c r="A219" s="129">
        <f t="shared" si="15"/>
        <v>45962</v>
      </c>
      <c r="B219" s="130">
        <f>YEAR(Table13[[#This Row],[Date]])+IF(MONTH(Table13[[#This Row],[Date]])&gt;=4,1,0)</f>
        <v>2026</v>
      </c>
      <c r="C219" s="7">
        <f>YEAR(Table13[[#This Row],[Date]])</f>
        <v>2025</v>
      </c>
      <c r="D219" s="131">
        <f>Table13[[#This Row],[Date]]-DAY(Table13[[#This Row],[Date]])+1</f>
        <v>45962</v>
      </c>
      <c r="E219" s="7">
        <f t="shared" si="12"/>
        <v>30</v>
      </c>
      <c r="F219" s="132" t="str">
        <f>IFERROR(_xlfn.XLOOKUP($A219,'Raw Data'!$G:$G,'Raw Data'!$AM:$AM),"")</f>
        <v/>
      </c>
      <c r="G219" s="133" t="str">
        <f>IFERROR(_xlfn.XLOOKUP($A219,'Raw Data'!$G:$G,'Raw Data'!$AB:$AB),"")</f>
        <v/>
      </c>
      <c r="H219" s="133"/>
      <c r="I219" s="133" t="str">
        <f>IFERROR(_xlfn.XLOOKUP($A219,'Raw Data'!$G:$G,'Raw Data'!$AC:$AC),"")</f>
        <v/>
      </c>
      <c r="J219" s="133"/>
      <c r="K219" s="133" t="str">
        <f>IFERROR(_xlfn.XLOOKUP($A219,'Raw Data'!$G:$G,'Raw Data'!AD:AD),"")</f>
        <v/>
      </c>
      <c r="L219" s="133" t="str">
        <f>IFERROR(_xlfn.XLOOKUP($A219,'Raw Data'!$G:$G,'Raw Data'!AE:AE),"")</f>
        <v/>
      </c>
      <c r="M219" s="133" t="str">
        <f>IFERROR(_xlfn.XLOOKUP($A219,'Raw Data'!$G:$G,'Raw Data'!AF:AF),"")</f>
        <v/>
      </c>
      <c r="N219" s="133" t="str">
        <f>IFERROR(_xlfn.XLOOKUP($A219,'Raw Data'!$G:$G,'Raw Data'!AG:AG),"")</f>
        <v/>
      </c>
      <c r="O219" s="134" t="str">
        <f>IFERROR(1-SUMIF('Plant BD'!$H:$H,$A219,'Plant BD'!$AE:$AE)/($AA219+SUMIF('Plant BD'!$H:$H,$A219,'Plant BD'!$AE:$AE)),"")</f>
        <v/>
      </c>
      <c r="P219" s="134"/>
      <c r="Q219" s="135"/>
      <c r="R219" s="134" t="str">
        <f>IFERROR(1-SUMIF('Grid BD'!$H:$H,$A219,'Grid BD'!$AD:$AD)/($AA219+SUMIF('Grid BD'!$H:$H,$A219,'Grid BD'!$AD:$AD)),"")</f>
        <v/>
      </c>
      <c r="T219" s="135"/>
      <c r="U219" s="136" t="str">
        <f t="shared" si="13"/>
        <v/>
      </c>
      <c r="V219" s="136"/>
      <c r="W219" s="137" t="str">
        <f t="shared" si="14"/>
        <v/>
      </c>
      <c r="X219" s="130" t="str">
        <f>IFERROR(_xlfn.XLOOKUP($A219,'Raw Data'!$G:$G,'Raw Data'!AI:AI),"")</f>
        <v/>
      </c>
      <c r="Y219" s="130" t="str">
        <f>IFERROR(_xlfn.XLOOKUP($A219,'Raw Data'!$G:$G,'Raw Data'!AJ:AJ),"")</f>
        <v/>
      </c>
      <c r="Z219" s="130" t="str">
        <f>IFERROR(_xlfn.XLOOKUP($A219,'Raw Data'!$G:$G,'Raw Data'!AK:AK),"")</f>
        <v/>
      </c>
      <c r="AA219" s="130" t="str">
        <f>IFERROR(_xlfn.XLOOKUP($A219,'Raw Data'!$G:$G,'Raw Data'!AL:AL),"")</f>
        <v/>
      </c>
      <c r="AB219" s="130" t="str">
        <f>IFERROR(_xlfn.XLOOKUP($A219,'Raw Data'!$G:$G,'Raw Data'!H:H),"")</f>
        <v/>
      </c>
      <c r="AC219" s="76">
        <f>IFERROR(_xlfn.XLOOKUP($D219,'Modelling New'!$D:$D,'Modelling New'!P:P),"")</f>
        <v>5.4333333333333336</v>
      </c>
      <c r="AD219" s="130">
        <f>IFERROR(_xlfn.XLOOKUP($D219,'Modelling New'!$D:$D,'Modelling New'!$T:$T)*1000,"")</f>
        <v>30935.368854830132</v>
      </c>
      <c r="AE219" s="138">
        <f>IFERROR(_xlfn.XLOOKUP($D219,'Modelling New'!$D:$D,'Modelling New'!O:O),"")</f>
        <v>0.70984879123298372</v>
      </c>
      <c r="AF219" s="137">
        <f>IFERROR(_xlfn.XLOOKUP($D219,'Modelling New'!$D:$D,'Modelling New'!W:W),"")</f>
        <v>0.160701879126356</v>
      </c>
      <c r="AG219" s="137">
        <f>IFERROR(_xlfn.XLOOKUP($D219,'Modelling New'!$D:$D,'Modelling New'!AE:AE),"")</f>
        <v>0.98040000000000005</v>
      </c>
      <c r="AH219" s="156">
        <f>IFERROR(_xlfn.XLOOKUP($D219,'Modelling New'!$D:$D,'Modelling New'!AF:AF),"")</f>
        <v>0.98</v>
      </c>
      <c r="AN219" s="134"/>
      <c r="AO219" s="137"/>
      <c r="AP219" s="137"/>
      <c r="AQ219" s="137"/>
      <c r="AR219" s="130">
        <f>'Basic Data'!$B$98/1000</f>
        <v>8.0208999999999993</v>
      </c>
    </row>
    <row r="220" spans="1:44" x14ac:dyDescent="0.3">
      <c r="A220" s="129">
        <f t="shared" si="15"/>
        <v>45963</v>
      </c>
      <c r="B220" s="130">
        <f>YEAR(Table13[[#This Row],[Date]])+IF(MONTH(Table13[[#This Row],[Date]])&gt;=4,1,0)</f>
        <v>2026</v>
      </c>
      <c r="C220" s="7">
        <f>YEAR(Table13[[#This Row],[Date]])</f>
        <v>2025</v>
      </c>
      <c r="D220" s="131">
        <f>Table13[[#This Row],[Date]]-DAY(Table13[[#This Row],[Date]])+1</f>
        <v>45962</v>
      </c>
      <c r="E220" s="7">
        <f t="shared" si="12"/>
        <v>30</v>
      </c>
      <c r="F220" s="132" t="str">
        <f>IFERROR(_xlfn.XLOOKUP($A220,'Raw Data'!$G:$G,'Raw Data'!$AM:$AM),"")</f>
        <v/>
      </c>
      <c r="G220" s="133" t="str">
        <f>IFERROR(_xlfn.XLOOKUP($A220,'Raw Data'!$G:$G,'Raw Data'!$AB:$AB),"")</f>
        <v/>
      </c>
      <c r="H220" s="133"/>
      <c r="I220" s="133" t="str">
        <f>IFERROR(_xlfn.XLOOKUP($A220,'Raw Data'!$G:$G,'Raw Data'!$AC:$AC),"")</f>
        <v/>
      </c>
      <c r="J220" s="133"/>
      <c r="K220" s="133" t="str">
        <f>IFERROR(_xlfn.XLOOKUP($A220,'Raw Data'!$G:$G,'Raw Data'!AD:AD),"")</f>
        <v/>
      </c>
      <c r="L220" s="133" t="str">
        <f>IFERROR(_xlfn.XLOOKUP($A220,'Raw Data'!$G:$G,'Raw Data'!AE:AE),"")</f>
        <v/>
      </c>
      <c r="M220" s="133" t="str">
        <f>IFERROR(_xlfn.XLOOKUP($A220,'Raw Data'!$G:$G,'Raw Data'!AF:AF),"")</f>
        <v/>
      </c>
      <c r="N220" s="133" t="str">
        <f>IFERROR(_xlfn.XLOOKUP($A220,'Raw Data'!$G:$G,'Raw Data'!AG:AG),"")</f>
        <v/>
      </c>
      <c r="O220" s="134" t="str">
        <f>IFERROR(1-SUMIF('Plant BD'!$H:$H,$A220,'Plant BD'!$AE:$AE)/($AA220+SUMIF('Plant BD'!$H:$H,$A220,'Plant BD'!$AE:$AE)),"")</f>
        <v/>
      </c>
      <c r="P220" s="134"/>
      <c r="Q220" s="135"/>
      <c r="R220" s="134" t="str">
        <f>IFERROR(1-SUMIF('Grid BD'!$H:$H,$A220,'Grid BD'!$AD:$AD)/($AA220+SUMIF('Grid BD'!$H:$H,$A220,'Grid BD'!$AD:$AD)),"")</f>
        <v/>
      </c>
      <c r="T220" s="135"/>
      <c r="U220" s="136" t="str">
        <f t="shared" si="13"/>
        <v/>
      </c>
      <c r="V220" s="136"/>
      <c r="W220" s="137" t="str">
        <f t="shared" si="14"/>
        <v/>
      </c>
      <c r="X220" s="130" t="str">
        <f>IFERROR(_xlfn.XLOOKUP($A220,'Raw Data'!$G:$G,'Raw Data'!AI:AI),"")</f>
        <v/>
      </c>
      <c r="Y220" s="130" t="str">
        <f>IFERROR(_xlfn.XLOOKUP($A220,'Raw Data'!$G:$G,'Raw Data'!AJ:AJ),"")</f>
        <v/>
      </c>
      <c r="Z220" s="130" t="str">
        <f>IFERROR(_xlfn.XLOOKUP($A220,'Raw Data'!$G:$G,'Raw Data'!AK:AK),"")</f>
        <v/>
      </c>
      <c r="AA220" s="130" t="str">
        <f>IFERROR(_xlfn.XLOOKUP($A220,'Raw Data'!$G:$G,'Raw Data'!AL:AL),"")</f>
        <v/>
      </c>
      <c r="AB220" s="130" t="str">
        <f>IFERROR(_xlfn.XLOOKUP($A220,'Raw Data'!$G:$G,'Raw Data'!H:H),"")</f>
        <v/>
      </c>
      <c r="AC220" s="76">
        <f>IFERROR(_xlfn.XLOOKUP($D220,'Modelling New'!$D:$D,'Modelling New'!P:P),"")</f>
        <v>5.4333333333333336</v>
      </c>
      <c r="AD220" s="130">
        <f>IFERROR(_xlfn.XLOOKUP($D220,'Modelling New'!$D:$D,'Modelling New'!$T:$T)*1000,"")</f>
        <v>30935.368854830132</v>
      </c>
      <c r="AE220" s="138">
        <f>IFERROR(_xlfn.XLOOKUP($D220,'Modelling New'!$D:$D,'Modelling New'!O:O),"")</f>
        <v>0.70984879123298372</v>
      </c>
      <c r="AF220" s="137">
        <f>IFERROR(_xlfn.XLOOKUP($D220,'Modelling New'!$D:$D,'Modelling New'!W:W),"")</f>
        <v>0.160701879126356</v>
      </c>
      <c r="AG220" s="137">
        <f>IFERROR(_xlfn.XLOOKUP($D220,'Modelling New'!$D:$D,'Modelling New'!AE:AE),"")</f>
        <v>0.98040000000000005</v>
      </c>
      <c r="AH220" s="156">
        <f>IFERROR(_xlfn.XLOOKUP($D220,'Modelling New'!$D:$D,'Modelling New'!AF:AF),"")</f>
        <v>0.98</v>
      </c>
      <c r="AN220" s="134"/>
      <c r="AO220" s="137"/>
      <c r="AP220" s="137"/>
      <c r="AQ220" s="137"/>
      <c r="AR220" s="130">
        <f>'Basic Data'!$B$98/1000</f>
        <v>8.0208999999999993</v>
      </c>
    </row>
    <row r="221" spans="1:44" x14ac:dyDescent="0.3">
      <c r="A221" s="129">
        <f t="shared" si="15"/>
        <v>45964</v>
      </c>
      <c r="B221" s="130">
        <f>YEAR(Table13[[#This Row],[Date]])+IF(MONTH(Table13[[#This Row],[Date]])&gt;=4,1,0)</f>
        <v>2026</v>
      </c>
      <c r="C221" s="7">
        <f>YEAR(Table13[[#This Row],[Date]])</f>
        <v>2025</v>
      </c>
      <c r="D221" s="131">
        <f>Table13[[#This Row],[Date]]-DAY(Table13[[#This Row],[Date]])+1</f>
        <v>45962</v>
      </c>
      <c r="E221" s="7">
        <f t="shared" si="12"/>
        <v>30</v>
      </c>
      <c r="F221" s="132" t="str">
        <f>IFERROR(_xlfn.XLOOKUP($A221,'Raw Data'!$G:$G,'Raw Data'!$AM:$AM),"")</f>
        <v/>
      </c>
      <c r="G221" s="133" t="str">
        <f>IFERROR(_xlfn.XLOOKUP($A221,'Raw Data'!$G:$G,'Raw Data'!$AB:$AB),"")</f>
        <v/>
      </c>
      <c r="H221" s="133"/>
      <c r="I221" s="133" t="str">
        <f>IFERROR(_xlfn.XLOOKUP($A221,'Raw Data'!$G:$G,'Raw Data'!$AC:$AC),"")</f>
        <v/>
      </c>
      <c r="J221" s="133"/>
      <c r="K221" s="133" t="str">
        <f>IFERROR(_xlfn.XLOOKUP($A221,'Raw Data'!$G:$G,'Raw Data'!AD:AD),"")</f>
        <v/>
      </c>
      <c r="L221" s="133" t="str">
        <f>IFERROR(_xlfn.XLOOKUP($A221,'Raw Data'!$G:$G,'Raw Data'!AE:AE),"")</f>
        <v/>
      </c>
      <c r="M221" s="133" t="str">
        <f>IFERROR(_xlfn.XLOOKUP($A221,'Raw Data'!$G:$G,'Raw Data'!AF:AF),"")</f>
        <v/>
      </c>
      <c r="N221" s="133" t="str">
        <f>IFERROR(_xlfn.XLOOKUP($A221,'Raw Data'!$G:$G,'Raw Data'!AG:AG),"")</f>
        <v/>
      </c>
      <c r="O221" s="134" t="str">
        <f>IFERROR(1-SUMIF('Plant BD'!$H:$H,$A221,'Plant BD'!$AE:$AE)/($AA221+SUMIF('Plant BD'!$H:$H,$A221,'Plant BD'!$AE:$AE)),"")</f>
        <v/>
      </c>
      <c r="P221" s="134"/>
      <c r="Q221" s="135"/>
      <c r="R221" s="134" t="str">
        <f>IFERROR(1-SUMIF('Grid BD'!$H:$H,$A221,'Grid BD'!$AD:$AD)/($AA221+SUMIF('Grid BD'!$H:$H,$A221,'Grid BD'!$AD:$AD)),"")</f>
        <v/>
      </c>
      <c r="T221" s="135"/>
      <c r="U221" s="136" t="str">
        <f t="shared" si="13"/>
        <v/>
      </c>
      <c r="V221" s="136"/>
      <c r="W221" s="137" t="str">
        <f t="shared" si="14"/>
        <v/>
      </c>
      <c r="X221" s="130" t="str">
        <f>IFERROR(_xlfn.XLOOKUP($A221,'Raw Data'!$G:$G,'Raw Data'!AI:AI),"")</f>
        <v/>
      </c>
      <c r="Y221" s="130" t="str">
        <f>IFERROR(_xlfn.XLOOKUP($A221,'Raw Data'!$G:$G,'Raw Data'!AJ:AJ),"")</f>
        <v/>
      </c>
      <c r="Z221" s="130" t="str">
        <f>IFERROR(_xlfn.XLOOKUP($A221,'Raw Data'!$G:$G,'Raw Data'!AK:AK),"")</f>
        <v/>
      </c>
      <c r="AA221" s="130" t="str">
        <f>IFERROR(_xlfn.XLOOKUP($A221,'Raw Data'!$G:$G,'Raw Data'!AL:AL),"")</f>
        <v/>
      </c>
      <c r="AB221" s="130" t="str">
        <f>IFERROR(_xlfn.XLOOKUP($A221,'Raw Data'!$G:$G,'Raw Data'!H:H),"")</f>
        <v/>
      </c>
      <c r="AC221" s="76">
        <f>IFERROR(_xlfn.XLOOKUP($D221,'Modelling New'!$D:$D,'Modelling New'!P:P),"")</f>
        <v>5.4333333333333336</v>
      </c>
      <c r="AD221" s="130">
        <f>IFERROR(_xlfn.XLOOKUP($D221,'Modelling New'!$D:$D,'Modelling New'!$T:$T)*1000,"")</f>
        <v>30935.368854830132</v>
      </c>
      <c r="AE221" s="138">
        <f>IFERROR(_xlfn.XLOOKUP($D221,'Modelling New'!$D:$D,'Modelling New'!O:O),"")</f>
        <v>0.70984879123298372</v>
      </c>
      <c r="AF221" s="137">
        <f>IFERROR(_xlfn.XLOOKUP($D221,'Modelling New'!$D:$D,'Modelling New'!W:W),"")</f>
        <v>0.160701879126356</v>
      </c>
      <c r="AG221" s="137">
        <f>IFERROR(_xlfn.XLOOKUP($D221,'Modelling New'!$D:$D,'Modelling New'!AE:AE),"")</f>
        <v>0.98040000000000005</v>
      </c>
      <c r="AH221" s="156">
        <f>IFERROR(_xlfn.XLOOKUP($D221,'Modelling New'!$D:$D,'Modelling New'!AF:AF),"")</f>
        <v>0.98</v>
      </c>
      <c r="AN221" s="134"/>
      <c r="AO221" s="137"/>
      <c r="AP221" s="137"/>
      <c r="AQ221" s="137"/>
      <c r="AR221" s="130">
        <f>'Basic Data'!$B$98/1000</f>
        <v>8.0208999999999993</v>
      </c>
    </row>
    <row r="222" spans="1:44" x14ac:dyDescent="0.3">
      <c r="A222" s="129">
        <f t="shared" si="15"/>
        <v>45965</v>
      </c>
      <c r="B222" s="130">
        <f>YEAR(Table13[[#This Row],[Date]])+IF(MONTH(Table13[[#This Row],[Date]])&gt;=4,1,0)</f>
        <v>2026</v>
      </c>
      <c r="C222" s="7">
        <f>YEAR(Table13[[#This Row],[Date]])</f>
        <v>2025</v>
      </c>
      <c r="D222" s="131">
        <f>Table13[[#This Row],[Date]]-DAY(Table13[[#This Row],[Date]])+1</f>
        <v>45962</v>
      </c>
      <c r="E222" s="7">
        <f t="shared" si="12"/>
        <v>30</v>
      </c>
      <c r="F222" s="132" t="str">
        <f>IFERROR(_xlfn.XLOOKUP($A222,'Raw Data'!$G:$G,'Raw Data'!$AM:$AM),"")</f>
        <v/>
      </c>
      <c r="G222" s="133" t="str">
        <f>IFERROR(_xlfn.XLOOKUP($A222,'Raw Data'!$G:$G,'Raw Data'!$AB:$AB),"")</f>
        <v/>
      </c>
      <c r="H222" s="133"/>
      <c r="I222" s="133" t="str">
        <f>IFERROR(_xlfn.XLOOKUP($A222,'Raw Data'!$G:$G,'Raw Data'!$AC:$AC),"")</f>
        <v/>
      </c>
      <c r="J222" s="133"/>
      <c r="K222" s="133" t="str">
        <f>IFERROR(_xlfn.XLOOKUP($A222,'Raw Data'!$G:$G,'Raw Data'!AD:AD),"")</f>
        <v/>
      </c>
      <c r="L222" s="133" t="str">
        <f>IFERROR(_xlfn.XLOOKUP($A222,'Raw Data'!$G:$G,'Raw Data'!AE:AE),"")</f>
        <v/>
      </c>
      <c r="M222" s="133" t="str">
        <f>IFERROR(_xlfn.XLOOKUP($A222,'Raw Data'!$G:$G,'Raw Data'!AF:AF),"")</f>
        <v/>
      </c>
      <c r="N222" s="133" t="str">
        <f>IFERROR(_xlfn.XLOOKUP($A222,'Raw Data'!$G:$G,'Raw Data'!AG:AG),"")</f>
        <v/>
      </c>
      <c r="O222" s="134" t="str">
        <f>IFERROR(1-SUMIF('Plant BD'!$H:$H,$A222,'Plant BD'!$AE:$AE)/($AA222+SUMIF('Plant BD'!$H:$H,$A222,'Plant BD'!$AE:$AE)),"")</f>
        <v/>
      </c>
      <c r="P222" s="134"/>
      <c r="Q222" s="135"/>
      <c r="R222" s="134" t="str">
        <f>IFERROR(1-SUMIF('Grid BD'!$H:$H,$A222,'Grid BD'!$AD:$AD)/($AA222+SUMIF('Grid BD'!$H:$H,$A222,'Grid BD'!$AD:$AD)),"")</f>
        <v/>
      </c>
      <c r="T222" s="135"/>
      <c r="U222" s="136" t="str">
        <f t="shared" si="13"/>
        <v/>
      </c>
      <c r="V222" s="136"/>
      <c r="W222" s="137" t="str">
        <f t="shared" si="14"/>
        <v/>
      </c>
      <c r="X222" s="130" t="str">
        <f>IFERROR(_xlfn.XLOOKUP($A222,'Raw Data'!$G:$G,'Raw Data'!AI:AI),"")</f>
        <v/>
      </c>
      <c r="Y222" s="130" t="str">
        <f>IFERROR(_xlfn.XLOOKUP($A222,'Raw Data'!$G:$G,'Raw Data'!AJ:AJ),"")</f>
        <v/>
      </c>
      <c r="Z222" s="130" t="str">
        <f>IFERROR(_xlfn.XLOOKUP($A222,'Raw Data'!$G:$G,'Raw Data'!AK:AK),"")</f>
        <v/>
      </c>
      <c r="AA222" s="130" t="str">
        <f>IFERROR(_xlfn.XLOOKUP($A222,'Raw Data'!$G:$G,'Raw Data'!AL:AL),"")</f>
        <v/>
      </c>
      <c r="AB222" s="130" t="str">
        <f>IFERROR(_xlfn.XLOOKUP($A222,'Raw Data'!$G:$G,'Raw Data'!H:H),"")</f>
        <v/>
      </c>
      <c r="AC222" s="76">
        <f>IFERROR(_xlfn.XLOOKUP($D222,'Modelling New'!$D:$D,'Modelling New'!P:P),"")</f>
        <v>5.4333333333333336</v>
      </c>
      <c r="AD222" s="130">
        <f>IFERROR(_xlfn.XLOOKUP($D222,'Modelling New'!$D:$D,'Modelling New'!$T:$T)*1000,"")</f>
        <v>30935.368854830132</v>
      </c>
      <c r="AE222" s="138">
        <f>IFERROR(_xlfn.XLOOKUP($D222,'Modelling New'!$D:$D,'Modelling New'!O:O),"")</f>
        <v>0.70984879123298372</v>
      </c>
      <c r="AF222" s="137">
        <f>IFERROR(_xlfn.XLOOKUP($D222,'Modelling New'!$D:$D,'Modelling New'!W:W),"")</f>
        <v>0.160701879126356</v>
      </c>
      <c r="AG222" s="137">
        <f>IFERROR(_xlfn.XLOOKUP($D222,'Modelling New'!$D:$D,'Modelling New'!AE:AE),"")</f>
        <v>0.98040000000000005</v>
      </c>
      <c r="AH222" s="156">
        <f>IFERROR(_xlfn.XLOOKUP($D222,'Modelling New'!$D:$D,'Modelling New'!AF:AF),"")</f>
        <v>0.98</v>
      </c>
      <c r="AN222" s="134"/>
      <c r="AO222" s="137"/>
      <c r="AP222" s="137"/>
      <c r="AQ222" s="137"/>
      <c r="AR222" s="130">
        <f>'Basic Data'!$B$98/1000</f>
        <v>8.0208999999999993</v>
      </c>
    </row>
    <row r="223" spans="1:44" x14ac:dyDescent="0.3">
      <c r="A223" s="129">
        <f t="shared" si="15"/>
        <v>45966</v>
      </c>
      <c r="B223" s="130">
        <f>YEAR(Table13[[#This Row],[Date]])+IF(MONTH(Table13[[#This Row],[Date]])&gt;=4,1,0)</f>
        <v>2026</v>
      </c>
      <c r="C223" s="7">
        <f>YEAR(Table13[[#This Row],[Date]])</f>
        <v>2025</v>
      </c>
      <c r="D223" s="131">
        <f>Table13[[#This Row],[Date]]-DAY(Table13[[#This Row],[Date]])+1</f>
        <v>45962</v>
      </c>
      <c r="E223" s="7">
        <f t="shared" si="12"/>
        <v>30</v>
      </c>
      <c r="F223" s="132" t="str">
        <f>IFERROR(_xlfn.XLOOKUP($A223,'Raw Data'!$G:$G,'Raw Data'!$AM:$AM),"")</f>
        <v/>
      </c>
      <c r="G223" s="133" t="str">
        <f>IFERROR(_xlfn.XLOOKUP($A223,'Raw Data'!$G:$G,'Raw Data'!$AB:$AB),"")</f>
        <v/>
      </c>
      <c r="H223" s="133"/>
      <c r="I223" s="133" t="str">
        <f>IFERROR(_xlfn.XLOOKUP($A223,'Raw Data'!$G:$G,'Raw Data'!$AC:$AC),"")</f>
        <v/>
      </c>
      <c r="J223" s="133"/>
      <c r="K223" s="133" t="str">
        <f>IFERROR(_xlfn.XLOOKUP($A223,'Raw Data'!$G:$G,'Raw Data'!AD:AD),"")</f>
        <v/>
      </c>
      <c r="L223" s="133" t="str">
        <f>IFERROR(_xlfn.XLOOKUP($A223,'Raw Data'!$G:$G,'Raw Data'!AE:AE),"")</f>
        <v/>
      </c>
      <c r="M223" s="133" t="str">
        <f>IFERROR(_xlfn.XLOOKUP($A223,'Raw Data'!$G:$G,'Raw Data'!AF:AF),"")</f>
        <v/>
      </c>
      <c r="N223" s="133" t="str">
        <f>IFERROR(_xlfn.XLOOKUP($A223,'Raw Data'!$G:$G,'Raw Data'!AG:AG),"")</f>
        <v/>
      </c>
      <c r="O223" s="134" t="str">
        <f>IFERROR(1-SUMIF('Plant BD'!$H:$H,$A223,'Plant BD'!$AE:$AE)/($AA223+SUMIF('Plant BD'!$H:$H,$A223,'Plant BD'!$AE:$AE)),"")</f>
        <v/>
      </c>
      <c r="P223" s="134"/>
      <c r="Q223" s="135"/>
      <c r="R223" s="134" t="str">
        <f>IFERROR(1-SUMIF('Grid BD'!$H:$H,$A223,'Grid BD'!$AD:$AD)/($AA223+SUMIF('Grid BD'!$H:$H,$A223,'Grid BD'!$AD:$AD)),"")</f>
        <v/>
      </c>
      <c r="T223" s="135"/>
      <c r="U223" s="136" t="str">
        <f t="shared" si="13"/>
        <v/>
      </c>
      <c r="V223" s="136"/>
      <c r="W223" s="137" t="str">
        <f t="shared" si="14"/>
        <v/>
      </c>
      <c r="X223" s="130" t="str">
        <f>IFERROR(_xlfn.XLOOKUP($A223,'Raw Data'!$G:$G,'Raw Data'!AI:AI),"")</f>
        <v/>
      </c>
      <c r="Y223" s="130" t="str">
        <f>IFERROR(_xlfn.XLOOKUP($A223,'Raw Data'!$G:$G,'Raw Data'!AJ:AJ),"")</f>
        <v/>
      </c>
      <c r="Z223" s="130" t="str">
        <f>IFERROR(_xlfn.XLOOKUP($A223,'Raw Data'!$G:$G,'Raw Data'!AK:AK),"")</f>
        <v/>
      </c>
      <c r="AA223" s="130" t="str">
        <f>IFERROR(_xlfn.XLOOKUP($A223,'Raw Data'!$G:$G,'Raw Data'!AL:AL),"")</f>
        <v/>
      </c>
      <c r="AB223" s="130" t="str">
        <f>IFERROR(_xlfn.XLOOKUP($A223,'Raw Data'!$G:$G,'Raw Data'!H:H),"")</f>
        <v/>
      </c>
      <c r="AC223" s="76">
        <f>IFERROR(_xlfn.XLOOKUP($D223,'Modelling New'!$D:$D,'Modelling New'!P:P),"")</f>
        <v>5.4333333333333336</v>
      </c>
      <c r="AD223" s="130">
        <f>IFERROR(_xlfn.XLOOKUP($D223,'Modelling New'!$D:$D,'Modelling New'!$T:$T)*1000,"")</f>
        <v>30935.368854830132</v>
      </c>
      <c r="AE223" s="138">
        <f>IFERROR(_xlfn.XLOOKUP($D223,'Modelling New'!$D:$D,'Modelling New'!O:O),"")</f>
        <v>0.70984879123298372</v>
      </c>
      <c r="AF223" s="137">
        <f>IFERROR(_xlfn.XLOOKUP($D223,'Modelling New'!$D:$D,'Modelling New'!W:W),"")</f>
        <v>0.160701879126356</v>
      </c>
      <c r="AG223" s="137">
        <f>IFERROR(_xlfn.XLOOKUP($D223,'Modelling New'!$D:$D,'Modelling New'!AE:AE),"")</f>
        <v>0.98040000000000005</v>
      </c>
      <c r="AH223" s="156">
        <f>IFERROR(_xlfn.XLOOKUP($D223,'Modelling New'!$D:$D,'Modelling New'!AF:AF),"")</f>
        <v>0.98</v>
      </c>
      <c r="AN223" s="134"/>
      <c r="AO223" s="137"/>
      <c r="AP223" s="137"/>
      <c r="AQ223" s="137"/>
      <c r="AR223" s="130">
        <f>'Basic Data'!$B$98/1000</f>
        <v>8.0208999999999993</v>
      </c>
    </row>
    <row r="224" spans="1:44" x14ac:dyDescent="0.3">
      <c r="A224" s="129">
        <f t="shared" si="15"/>
        <v>45967</v>
      </c>
      <c r="B224" s="130">
        <f>YEAR(Table13[[#This Row],[Date]])+IF(MONTH(Table13[[#This Row],[Date]])&gt;=4,1,0)</f>
        <v>2026</v>
      </c>
      <c r="C224" s="7">
        <f>YEAR(Table13[[#This Row],[Date]])</f>
        <v>2025</v>
      </c>
      <c r="D224" s="131">
        <f>Table13[[#This Row],[Date]]-DAY(Table13[[#This Row],[Date]])+1</f>
        <v>45962</v>
      </c>
      <c r="E224" s="7">
        <f t="shared" si="12"/>
        <v>30</v>
      </c>
      <c r="F224" s="132" t="str">
        <f>IFERROR(_xlfn.XLOOKUP($A224,'Raw Data'!$G:$G,'Raw Data'!$AM:$AM),"")</f>
        <v/>
      </c>
      <c r="G224" s="133" t="str">
        <f>IFERROR(_xlfn.XLOOKUP($A224,'Raw Data'!$G:$G,'Raw Data'!$AB:$AB),"")</f>
        <v/>
      </c>
      <c r="H224" s="133"/>
      <c r="I224" s="133" t="str">
        <f>IFERROR(_xlfn.XLOOKUP($A224,'Raw Data'!$G:$G,'Raw Data'!$AC:$AC),"")</f>
        <v/>
      </c>
      <c r="J224" s="133"/>
      <c r="K224" s="133" t="str">
        <f>IFERROR(_xlfn.XLOOKUP($A224,'Raw Data'!$G:$G,'Raw Data'!AD:AD),"")</f>
        <v/>
      </c>
      <c r="L224" s="133" t="str">
        <f>IFERROR(_xlfn.XLOOKUP($A224,'Raw Data'!$G:$G,'Raw Data'!AE:AE),"")</f>
        <v/>
      </c>
      <c r="M224" s="133" t="str">
        <f>IFERROR(_xlfn.XLOOKUP($A224,'Raw Data'!$G:$G,'Raw Data'!AF:AF),"")</f>
        <v/>
      </c>
      <c r="N224" s="133" t="str">
        <f>IFERROR(_xlfn.XLOOKUP($A224,'Raw Data'!$G:$G,'Raw Data'!AG:AG),"")</f>
        <v/>
      </c>
      <c r="O224" s="134" t="str">
        <f>IFERROR(1-SUMIF('Plant BD'!$H:$H,$A224,'Plant BD'!$AE:$AE)/($AA224+SUMIF('Plant BD'!$H:$H,$A224,'Plant BD'!$AE:$AE)),"")</f>
        <v/>
      </c>
      <c r="P224" s="134"/>
      <c r="Q224" s="135"/>
      <c r="R224" s="134" t="str">
        <f>IFERROR(1-SUMIF('Grid BD'!$H:$H,$A224,'Grid BD'!$AD:$AD)/($AA224+SUMIF('Grid BD'!$H:$H,$A224,'Grid BD'!$AD:$AD)),"")</f>
        <v/>
      </c>
      <c r="T224" s="135"/>
      <c r="U224" s="136" t="str">
        <f t="shared" si="13"/>
        <v/>
      </c>
      <c r="V224" s="136"/>
      <c r="W224" s="137" t="str">
        <f t="shared" si="14"/>
        <v/>
      </c>
      <c r="X224" s="130" t="str">
        <f>IFERROR(_xlfn.XLOOKUP($A224,'Raw Data'!$G:$G,'Raw Data'!AI:AI),"")</f>
        <v/>
      </c>
      <c r="Y224" s="130" t="str">
        <f>IFERROR(_xlfn.XLOOKUP($A224,'Raw Data'!$G:$G,'Raw Data'!AJ:AJ),"")</f>
        <v/>
      </c>
      <c r="Z224" s="130" t="str">
        <f>IFERROR(_xlfn.XLOOKUP($A224,'Raw Data'!$G:$G,'Raw Data'!AK:AK),"")</f>
        <v/>
      </c>
      <c r="AA224" s="130" t="str">
        <f>IFERROR(_xlfn.XLOOKUP($A224,'Raw Data'!$G:$G,'Raw Data'!AL:AL),"")</f>
        <v/>
      </c>
      <c r="AB224" s="130" t="str">
        <f>IFERROR(_xlfn.XLOOKUP($A224,'Raw Data'!$G:$G,'Raw Data'!H:H),"")</f>
        <v/>
      </c>
      <c r="AC224" s="76">
        <f>IFERROR(_xlfn.XLOOKUP($D224,'Modelling New'!$D:$D,'Modelling New'!P:P),"")</f>
        <v>5.4333333333333336</v>
      </c>
      <c r="AD224" s="130">
        <f>IFERROR(_xlfn.XLOOKUP($D224,'Modelling New'!$D:$D,'Modelling New'!$T:$T)*1000,"")</f>
        <v>30935.368854830132</v>
      </c>
      <c r="AE224" s="138">
        <f>IFERROR(_xlfn.XLOOKUP($D224,'Modelling New'!$D:$D,'Modelling New'!O:O),"")</f>
        <v>0.70984879123298372</v>
      </c>
      <c r="AF224" s="137">
        <f>IFERROR(_xlfn.XLOOKUP($D224,'Modelling New'!$D:$D,'Modelling New'!W:W),"")</f>
        <v>0.160701879126356</v>
      </c>
      <c r="AG224" s="137">
        <f>IFERROR(_xlfn.XLOOKUP($D224,'Modelling New'!$D:$D,'Modelling New'!AE:AE),"")</f>
        <v>0.98040000000000005</v>
      </c>
      <c r="AH224" s="156">
        <f>IFERROR(_xlfn.XLOOKUP($D224,'Modelling New'!$D:$D,'Modelling New'!AF:AF),"")</f>
        <v>0.98</v>
      </c>
      <c r="AN224" s="134"/>
      <c r="AO224" s="137"/>
      <c r="AP224" s="137"/>
      <c r="AQ224" s="137"/>
      <c r="AR224" s="130">
        <f>'Basic Data'!$B$98/1000</f>
        <v>8.0208999999999993</v>
      </c>
    </row>
    <row r="225" spans="1:44" x14ac:dyDescent="0.3">
      <c r="A225" s="129">
        <f t="shared" si="15"/>
        <v>45968</v>
      </c>
      <c r="B225" s="130">
        <f>YEAR(Table13[[#This Row],[Date]])+IF(MONTH(Table13[[#This Row],[Date]])&gt;=4,1,0)</f>
        <v>2026</v>
      </c>
      <c r="C225" s="7">
        <f>YEAR(Table13[[#This Row],[Date]])</f>
        <v>2025</v>
      </c>
      <c r="D225" s="131">
        <f>Table13[[#This Row],[Date]]-DAY(Table13[[#This Row],[Date]])+1</f>
        <v>45962</v>
      </c>
      <c r="E225" s="7">
        <f t="shared" si="12"/>
        <v>30</v>
      </c>
      <c r="F225" s="132" t="str">
        <f>IFERROR(_xlfn.XLOOKUP($A225,'Raw Data'!$G:$G,'Raw Data'!$AM:$AM),"")</f>
        <v/>
      </c>
      <c r="G225" s="133" t="str">
        <f>IFERROR(_xlfn.XLOOKUP($A225,'Raw Data'!$G:$G,'Raw Data'!$AB:$AB),"")</f>
        <v/>
      </c>
      <c r="H225" s="133"/>
      <c r="I225" s="133" t="str">
        <f>IFERROR(_xlfn.XLOOKUP($A225,'Raw Data'!$G:$G,'Raw Data'!$AC:$AC),"")</f>
        <v/>
      </c>
      <c r="J225" s="133"/>
      <c r="K225" s="133" t="str">
        <f>IFERROR(_xlfn.XLOOKUP($A225,'Raw Data'!$G:$G,'Raw Data'!AD:AD),"")</f>
        <v/>
      </c>
      <c r="L225" s="133" t="str">
        <f>IFERROR(_xlfn.XLOOKUP($A225,'Raw Data'!$G:$G,'Raw Data'!AE:AE),"")</f>
        <v/>
      </c>
      <c r="M225" s="133" t="str">
        <f>IFERROR(_xlfn.XLOOKUP($A225,'Raw Data'!$G:$G,'Raw Data'!AF:AF),"")</f>
        <v/>
      </c>
      <c r="N225" s="133" t="str">
        <f>IFERROR(_xlfn.XLOOKUP($A225,'Raw Data'!$G:$G,'Raw Data'!AG:AG),"")</f>
        <v/>
      </c>
      <c r="O225" s="134" t="str">
        <f>IFERROR(1-SUMIF('Plant BD'!$H:$H,$A225,'Plant BD'!$AE:$AE)/($AA225+SUMIF('Plant BD'!$H:$H,$A225,'Plant BD'!$AE:$AE)),"")</f>
        <v/>
      </c>
      <c r="P225" s="134"/>
      <c r="Q225" s="135"/>
      <c r="R225" s="134" t="str">
        <f>IFERROR(1-SUMIF('Grid BD'!$H:$H,$A225,'Grid BD'!$AD:$AD)/($AA225+SUMIF('Grid BD'!$H:$H,$A225,'Grid BD'!$AD:$AD)),"")</f>
        <v/>
      </c>
      <c r="T225" s="135"/>
      <c r="U225" s="136" t="str">
        <f t="shared" si="13"/>
        <v/>
      </c>
      <c r="V225" s="136"/>
      <c r="W225" s="137" t="str">
        <f t="shared" si="14"/>
        <v/>
      </c>
      <c r="X225" s="130" t="str">
        <f>IFERROR(_xlfn.XLOOKUP($A225,'Raw Data'!$G:$G,'Raw Data'!AI:AI),"")</f>
        <v/>
      </c>
      <c r="Y225" s="130" t="str">
        <f>IFERROR(_xlfn.XLOOKUP($A225,'Raw Data'!$G:$G,'Raw Data'!AJ:AJ),"")</f>
        <v/>
      </c>
      <c r="Z225" s="130" t="str">
        <f>IFERROR(_xlfn.XLOOKUP($A225,'Raw Data'!$G:$G,'Raw Data'!AK:AK),"")</f>
        <v/>
      </c>
      <c r="AA225" s="130" t="str">
        <f>IFERROR(_xlfn.XLOOKUP($A225,'Raw Data'!$G:$G,'Raw Data'!AL:AL),"")</f>
        <v/>
      </c>
      <c r="AB225" s="130" t="str">
        <f>IFERROR(_xlfn.XLOOKUP($A225,'Raw Data'!$G:$G,'Raw Data'!H:H),"")</f>
        <v/>
      </c>
      <c r="AC225" s="76">
        <f>IFERROR(_xlfn.XLOOKUP($D225,'Modelling New'!$D:$D,'Modelling New'!P:P),"")</f>
        <v>5.4333333333333336</v>
      </c>
      <c r="AD225" s="130">
        <f>IFERROR(_xlfn.XLOOKUP($D225,'Modelling New'!$D:$D,'Modelling New'!$T:$T)*1000,"")</f>
        <v>30935.368854830132</v>
      </c>
      <c r="AE225" s="138">
        <f>IFERROR(_xlfn.XLOOKUP($D225,'Modelling New'!$D:$D,'Modelling New'!O:O),"")</f>
        <v>0.70984879123298372</v>
      </c>
      <c r="AF225" s="137">
        <f>IFERROR(_xlfn.XLOOKUP($D225,'Modelling New'!$D:$D,'Modelling New'!W:W),"")</f>
        <v>0.160701879126356</v>
      </c>
      <c r="AG225" s="137">
        <f>IFERROR(_xlfn.XLOOKUP($D225,'Modelling New'!$D:$D,'Modelling New'!AE:AE),"")</f>
        <v>0.98040000000000005</v>
      </c>
      <c r="AH225" s="156">
        <f>IFERROR(_xlfn.XLOOKUP($D225,'Modelling New'!$D:$D,'Modelling New'!AF:AF),"")</f>
        <v>0.98</v>
      </c>
      <c r="AN225" s="134"/>
      <c r="AO225" s="137"/>
      <c r="AP225" s="137"/>
      <c r="AQ225" s="137"/>
      <c r="AR225" s="130">
        <f>'Basic Data'!$B$98/1000</f>
        <v>8.0208999999999993</v>
      </c>
    </row>
    <row r="226" spans="1:44" x14ac:dyDescent="0.3">
      <c r="A226" s="129">
        <f t="shared" si="15"/>
        <v>45969</v>
      </c>
      <c r="B226" s="130">
        <f>YEAR(Table13[[#This Row],[Date]])+IF(MONTH(Table13[[#This Row],[Date]])&gt;=4,1,0)</f>
        <v>2026</v>
      </c>
      <c r="C226" s="7">
        <f>YEAR(Table13[[#This Row],[Date]])</f>
        <v>2025</v>
      </c>
      <c r="D226" s="131">
        <f>Table13[[#This Row],[Date]]-DAY(Table13[[#This Row],[Date]])+1</f>
        <v>45962</v>
      </c>
      <c r="E226" s="7">
        <f t="shared" si="12"/>
        <v>30</v>
      </c>
      <c r="F226" s="132" t="str">
        <f>IFERROR(_xlfn.XLOOKUP($A226,'Raw Data'!$G:$G,'Raw Data'!$AM:$AM),"")</f>
        <v/>
      </c>
      <c r="G226" s="133" t="str">
        <f>IFERROR(_xlfn.XLOOKUP($A226,'Raw Data'!$G:$G,'Raw Data'!$AB:$AB),"")</f>
        <v/>
      </c>
      <c r="H226" s="133"/>
      <c r="I226" s="133" t="str">
        <f>IFERROR(_xlfn.XLOOKUP($A226,'Raw Data'!$G:$G,'Raw Data'!$AC:$AC),"")</f>
        <v/>
      </c>
      <c r="J226" s="133"/>
      <c r="K226" s="133" t="str">
        <f>IFERROR(_xlfn.XLOOKUP($A226,'Raw Data'!$G:$G,'Raw Data'!AD:AD),"")</f>
        <v/>
      </c>
      <c r="L226" s="133" t="str">
        <f>IFERROR(_xlfn.XLOOKUP($A226,'Raw Data'!$G:$G,'Raw Data'!AE:AE),"")</f>
        <v/>
      </c>
      <c r="M226" s="133" t="str">
        <f>IFERROR(_xlfn.XLOOKUP($A226,'Raw Data'!$G:$G,'Raw Data'!AF:AF),"")</f>
        <v/>
      </c>
      <c r="N226" s="133" t="str">
        <f>IFERROR(_xlfn.XLOOKUP($A226,'Raw Data'!$G:$G,'Raw Data'!AG:AG),"")</f>
        <v/>
      </c>
      <c r="O226" s="134" t="str">
        <f>IFERROR(1-SUMIF('Plant BD'!$H:$H,$A226,'Plant BD'!$AE:$AE)/($AA226+SUMIF('Plant BD'!$H:$H,$A226,'Plant BD'!$AE:$AE)),"")</f>
        <v/>
      </c>
      <c r="P226" s="134"/>
      <c r="Q226" s="135"/>
      <c r="R226" s="134" t="str">
        <f>IFERROR(1-SUMIF('Grid BD'!$H:$H,$A226,'Grid BD'!$AD:$AD)/($AA226+SUMIF('Grid BD'!$H:$H,$A226,'Grid BD'!$AD:$AD)),"")</f>
        <v/>
      </c>
      <c r="T226" s="135"/>
      <c r="U226" s="136" t="str">
        <f t="shared" si="13"/>
        <v/>
      </c>
      <c r="V226" s="136"/>
      <c r="W226" s="137" t="str">
        <f t="shared" si="14"/>
        <v/>
      </c>
      <c r="X226" s="130" t="str">
        <f>IFERROR(_xlfn.XLOOKUP($A226,'Raw Data'!$G:$G,'Raw Data'!AI:AI),"")</f>
        <v/>
      </c>
      <c r="Y226" s="130" t="str">
        <f>IFERROR(_xlfn.XLOOKUP($A226,'Raw Data'!$G:$G,'Raw Data'!AJ:AJ),"")</f>
        <v/>
      </c>
      <c r="Z226" s="130" t="str">
        <f>IFERROR(_xlfn.XLOOKUP($A226,'Raw Data'!$G:$G,'Raw Data'!AK:AK),"")</f>
        <v/>
      </c>
      <c r="AA226" s="130" t="str">
        <f>IFERROR(_xlfn.XLOOKUP($A226,'Raw Data'!$G:$G,'Raw Data'!AL:AL),"")</f>
        <v/>
      </c>
      <c r="AB226" s="130" t="str">
        <f>IFERROR(_xlfn.XLOOKUP($A226,'Raw Data'!$G:$G,'Raw Data'!H:H),"")</f>
        <v/>
      </c>
      <c r="AC226" s="76">
        <f>IFERROR(_xlfn.XLOOKUP($D226,'Modelling New'!$D:$D,'Modelling New'!P:P),"")</f>
        <v>5.4333333333333336</v>
      </c>
      <c r="AD226" s="130">
        <f>IFERROR(_xlfn.XLOOKUP($D226,'Modelling New'!$D:$D,'Modelling New'!$T:$T)*1000,"")</f>
        <v>30935.368854830132</v>
      </c>
      <c r="AE226" s="138">
        <f>IFERROR(_xlfn.XLOOKUP($D226,'Modelling New'!$D:$D,'Modelling New'!O:O),"")</f>
        <v>0.70984879123298372</v>
      </c>
      <c r="AF226" s="137">
        <f>IFERROR(_xlfn.XLOOKUP($D226,'Modelling New'!$D:$D,'Modelling New'!W:W),"")</f>
        <v>0.160701879126356</v>
      </c>
      <c r="AG226" s="137">
        <f>IFERROR(_xlfn.XLOOKUP($D226,'Modelling New'!$D:$D,'Modelling New'!AE:AE),"")</f>
        <v>0.98040000000000005</v>
      </c>
      <c r="AH226" s="156">
        <f>IFERROR(_xlfn.XLOOKUP($D226,'Modelling New'!$D:$D,'Modelling New'!AF:AF),"")</f>
        <v>0.98</v>
      </c>
      <c r="AN226" s="134"/>
      <c r="AO226" s="137"/>
      <c r="AP226" s="137"/>
      <c r="AQ226" s="137"/>
      <c r="AR226" s="130">
        <f>'Basic Data'!$B$98/1000</f>
        <v>8.0208999999999993</v>
      </c>
    </row>
    <row r="227" spans="1:44" x14ac:dyDescent="0.3">
      <c r="A227" s="129">
        <f t="shared" si="15"/>
        <v>45970</v>
      </c>
      <c r="B227" s="130">
        <f>YEAR(Table13[[#This Row],[Date]])+IF(MONTH(Table13[[#This Row],[Date]])&gt;=4,1,0)</f>
        <v>2026</v>
      </c>
      <c r="C227" s="7">
        <f>YEAR(Table13[[#This Row],[Date]])</f>
        <v>2025</v>
      </c>
      <c r="D227" s="131">
        <f>Table13[[#This Row],[Date]]-DAY(Table13[[#This Row],[Date]])+1</f>
        <v>45962</v>
      </c>
      <c r="E227" s="7">
        <f t="shared" si="12"/>
        <v>30</v>
      </c>
      <c r="F227" s="132" t="str">
        <f>IFERROR(_xlfn.XLOOKUP($A227,'Raw Data'!$G:$G,'Raw Data'!$AM:$AM),"")</f>
        <v/>
      </c>
      <c r="G227" s="133" t="str">
        <f>IFERROR(_xlfn.XLOOKUP($A227,'Raw Data'!$G:$G,'Raw Data'!$AB:$AB),"")</f>
        <v/>
      </c>
      <c r="H227" s="133"/>
      <c r="I227" s="133" t="str">
        <f>IFERROR(_xlfn.XLOOKUP($A227,'Raw Data'!$G:$G,'Raw Data'!$AC:$AC),"")</f>
        <v/>
      </c>
      <c r="J227" s="133"/>
      <c r="K227" s="133" t="str">
        <f>IFERROR(_xlfn.XLOOKUP($A227,'Raw Data'!$G:$G,'Raw Data'!AD:AD),"")</f>
        <v/>
      </c>
      <c r="L227" s="133" t="str">
        <f>IFERROR(_xlfn.XLOOKUP($A227,'Raw Data'!$G:$G,'Raw Data'!AE:AE),"")</f>
        <v/>
      </c>
      <c r="M227" s="133" t="str">
        <f>IFERROR(_xlfn.XLOOKUP($A227,'Raw Data'!$G:$G,'Raw Data'!AF:AF),"")</f>
        <v/>
      </c>
      <c r="N227" s="133" t="str">
        <f>IFERROR(_xlfn.XLOOKUP($A227,'Raw Data'!$G:$G,'Raw Data'!AG:AG),"")</f>
        <v/>
      </c>
      <c r="O227" s="134" t="str">
        <f>IFERROR(1-SUMIF('Plant BD'!$H:$H,$A227,'Plant BD'!$AE:$AE)/($AA227+SUMIF('Plant BD'!$H:$H,$A227,'Plant BD'!$AE:$AE)),"")</f>
        <v/>
      </c>
      <c r="P227" s="134"/>
      <c r="Q227" s="135"/>
      <c r="R227" s="134" t="str">
        <f>IFERROR(1-SUMIF('Grid BD'!$H:$H,$A227,'Grid BD'!$AD:$AD)/($AA227+SUMIF('Grid BD'!$H:$H,$A227,'Grid BD'!$AD:$AD)),"")</f>
        <v/>
      </c>
      <c r="T227" s="135"/>
      <c r="U227" s="136" t="str">
        <f t="shared" si="13"/>
        <v/>
      </c>
      <c r="V227" s="136"/>
      <c r="W227" s="137" t="str">
        <f t="shared" si="14"/>
        <v/>
      </c>
      <c r="X227" s="130" t="str">
        <f>IFERROR(_xlfn.XLOOKUP($A227,'Raw Data'!$G:$G,'Raw Data'!AI:AI),"")</f>
        <v/>
      </c>
      <c r="Y227" s="130" t="str">
        <f>IFERROR(_xlfn.XLOOKUP($A227,'Raw Data'!$G:$G,'Raw Data'!AJ:AJ),"")</f>
        <v/>
      </c>
      <c r="Z227" s="130" t="str">
        <f>IFERROR(_xlfn.XLOOKUP($A227,'Raw Data'!$G:$G,'Raw Data'!AK:AK),"")</f>
        <v/>
      </c>
      <c r="AA227" s="130" t="str">
        <f>IFERROR(_xlfn.XLOOKUP($A227,'Raw Data'!$G:$G,'Raw Data'!AL:AL),"")</f>
        <v/>
      </c>
      <c r="AB227" s="130" t="str">
        <f>IFERROR(_xlfn.XLOOKUP($A227,'Raw Data'!$G:$G,'Raw Data'!H:H),"")</f>
        <v/>
      </c>
      <c r="AC227" s="76">
        <f>IFERROR(_xlfn.XLOOKUP($D227,'Modelling New'!$D:$D,'Modelling New'!P:P),"")</f>
        <v>5.4333333333333336</v>
      </c>
      <c r="AD227" s="130">
        <f>IFERROR(_xlfn.XLOOKUP($D227,'Modelling New'!$D:$D,'Modelling New'!$T:$T)*1000,"")</f>
        <v>30935.368854830132</v>
      </c>
      <c r="AE227" s="138">
        <f>IFERROR(_xlfn.XLOOKUP($D227,'Modelling New'!$D:$D,'Modelling New'!O:O),"")</f>
        <v>0.70984879123298372</v>
      </c>
      <c r="AF227" s="137">
        <f>IFERROR(_xlfn.XLOOKUP($D227,'Modelling New'!$D:$D,'Modelling New'!W:W),"")</f>
        <v>0.160701879126356</v>
      </c>
      <c r="AG227" s="137">
        <f>IFERROR(_xlfn.XLOOKUP($D227,'Modelling New'!$D:$D,'Modelling New'!AE:AE),"")</f>
        <v>0.98040000000000005</v>
      </c>
      <c r="AH227" s="156">
        <f>IFERROR(_xlfn.XLOOKUP($D227,'Modelling New'!$D:$D,'Modelling New'!AF:AF),"")</f>
        <v>0.98</v>
      </c>
      <c r="AN227" s="134"/>
      <c r="AO227" s="137"/>
      <c r="AP227" s="137"/>
      <c r="AQ227" s="137"/>
      <c r="AR227" s="130">
        <f>'Basic Data'!$B$98/1000</f>
        <v>8.0208999999999993</v>
      </c>
    </row>
    <row r="228" spans="1:44" x14ac:dyDescent="0.3">
      <c r="A228" s="129">
        <f t="shared" si="15"/>
        <v>45971</v>
      </c>
      <c r="B228" s="130">
        <f>YEAR(Table13[[#This Row],[Date]])+IF(MONTH(Table13[[#This Row],[Date]])&gt;=4,1,0)</f>
        <v>2026</v>
      </c>
      <c r="C228" s="7">
        <f>YEAR(Table13[[#This Row],[Date]])</f>
        <v>2025</v>
      </c>
      <c r="D228" s="131">
        <f>Table13[[#This Row],[Date]]-DAY(Table13[[#This Row],[Date]])+1</f>
        <v>45962</v>
      </c>
      <c r="E228" s="7">
        <f t="shared" si="12"/>
        <v>30</v>
      </c>
      <c r="F228" s="132" t="str">
        <f>IFERROR(_xlfn.XLOOKUP($A228,'Raw Data'!$G:$G,'Raw Data'!$AM:$AM),"")</f>
        <v/>
      </c>
      <c r="G228" s="133" t="str">
        <f>IFERROR(_xlfn.XLOOKUP($A228,'Raw Data'!$G:$G,'Raw Data'!$AB:$AB),"")</f>
        <v/>
      </c>
      <c r="H228" s="133"/>
      <c r="I228" s="133" t="str">
        <f>IFERROR(_xlfn.XLOOKUP($A228,'Raw Data'!$G:$G,'Raw Data'!$AC:$AC),"")</f>
        <v/>
      </c>
      <c r="J228" s="133"/>
      <c r="K228" s="133" t="str">
        <f>IFERROR(_xlfn.XLOOKUP($A228,'Raw Data'!$G:$G,'Raw Data'!AD:AD),"")</f>
        <v/>
      </c>
      <c r="L228" s="133" t="str">
        <f>IFERROR(_xlfn.XLOOKUP($A228,'Raw Data'!$G:$G,'Raw Data'!AE:AE),"")</f>
        <v/>
      </c>
      <c r="M228" s="133" t="str">
        <f>IFERROR(_xlfn.XLOOKUP($A228,'Raw Data'!$G:$G,'Raw Data'!AF:AF),"")</f>
        <v/>
      </c>
      <c r="N228" s="133" t="str">
        <f>IFERROR(_xlfn.XLOOKUP($A228,'Raw Data'!$G:$G,'Raw Data'!AG:AG),"")</f>
        <v/>
      </c>
      <c r="O228" s="134" t="str">
        <f>IFERROR(1-SUMIF('Plant BD'!$H:$H,$A228,'Plant BD'!$AE:$AE)/($AA228+SUMIF('Plant BD'!$H:$H,$A228,'Plant BD'!$AE:$AE)),"")</f>
        <v/>
      </c>
      <c r="P228" s="134"/>
      <c r="Q228" s="135"/>
      <c r="R228" s="134" t="str">
        <f>IFERROR(1-SUMIF('Grid BD'!$H:$H,$A228,'Grid BD'!$AD:$AD)/($AA228+SUMIF('Grid BD'!$H:$H,$A228,'Grid BD'!$AD:$AD)),"")</f>
        <v/>
      </c>
      <c r="T228" s="135"/>
      <c r="U228" s="136" t="str">
        <f t="shared" si="13"/>
        <v/>
      </c>
      <c r="V228" s="136"/>
      <c r="W228" s="137" t="str">
        <f t="shared" si="14"/>
        <v/>
      </c>
      <c r="X228" s="130" t="str">
        <f>IFERROR(_xlfn.XLOOKUP($A228,'Raw Data'!$G:$G,'Raw Data'!AI:AI),"")</f>
        <v/>
      </c>
      <c r="Y228" s="130" t="str">
        <f>IFERROR(_xlfn.XLOOKUP($A228,'Raw Data'!$G:$G,'Raw Data'!AJ:AJ),"")</f>
        <v/>
      </c>
      <c r="Z228" s="130" t="str">
        <f>IFERROR(_xlfn.XLOOKUP($A228,'Raw Data'!$G:$G,'Raw Data'!AK:AK),"")</f>
        <v/>
      </c>
      <c r="AA228" s="130" t="str">
        <f>IFERROR(_xlfn.XLOOKUP($A228,'Raw Data'!$G:$G,'Raw Data'!AL:AL),"")</f>
        <v/>
      </c>
      <c r="AB228" s="130" t="str">
        <f>IFERROR(_xlfn.XLOOKUP($A228,'Raw Data'!$G:$G,'Raw Data'!H:H),"")</f>
        <v/>
      </c>
      <c r="AC228" s="76">
        <f>IFERROR(_xlfn.XLOOKUP($D228,'Modelling New'!$D:$D,'Modelling New'!P:P),"")</f>
        <v>5.4333333333333336</v>
      </c>
      <c r="AD228" s="130">
        <f>IFERROR(_xlfn.XLOOKUP($D228,'Modelling New'!$D:$D,'Modelling New'!$T:$T)*1000,"")</f>
        <v>30935.368854830132</v>
      </c>
      <c r="AE228" s="138">
        <f>IFERROR(_xlfn.XLOOKUP($D228,'Modelling New'!$D:$D,'Modelling New'!O:O),"")</f>
        <v>0.70984879123298372</v>
      </c>
      <c r="AF228" s="137">
        <f>IFERROR(_xlfn.XLOOKUP($D228,'Modelling New'!$D:$D,'Modelling New'!W:W),"")</f>
        <v>0.160701879126356</v>
      </c>
      <c r="AG228" s="137">
        <f>IFERROR(_xlfn.XLOOKUP($D228,'Modelling New'!$D:$D,'Modelling New'!AE:AE),"")</f>
        <v>0.98040000000000005</v>
      </c>
      <c r="AH228" s="156">
        <f>IFERROR(_xlfn.XLOOKUP($D228,'Modelling New'!$D:$D,'Modelling New'!AF:AF),"")</f>
        <v>0.98</v>
      </c>
      <c r="AN228" s="134"/>
      <c r="AO228" s="137"/>
      <c r="AP228" s="137"/>
      <c r="AQ228" s="137"/>
      <c r="AR228" s="130">
        <f>'Basic Data'!$B$98/1000</f>
        <v>8.0208999999999993</v>
      </c>
    </row>
    <row r="229" spans="1:44" x14ac:dyDescent="0.3">
      <c r="A229" s="129">
        <f t="shared" si="15"/>
        <v>45972</v>
      </c>
      <c r="B229" s="130">
        <f>YEAR(Table13[[#This Row],[Date]])+IF(MONTH(Table13[[#This Row],[Date]])&gt;=4,1,0)</f>
        <v>2026</v>
      </c>
      <c r="C229" s="7">
        <f>YEAR(Table13[[#This Row],[Date]])</f>
        <v>2025</v>
      </c>
      <c r="D229" s="131">
        <f>Table13[[#This Row],[Date]]-DAY(Table13[[#This Row],[Date]])+1</f>
        <v>45962</v>
      </c>
      <c r="E229" s="7">
        <f t="shared" si="12"/>
        <v>30</v>
      </c>
      <c r="F229" s="132" t="str">
        <f>IFERROR(_xlfn.XLOOKUP($A229,'Raw Data'!$G:$G,'Raw Data'!$AM:$AM),"")</f>
        <v/>
      </c>
      <c r="G229" s="133" t="str">
        <f>IFERROR(_xlfn.XLOOKUP($A229,'Raw Data'!$G:$G,'Raw Data'!$AB:$AB),"")</f>
        <v/>
      </c>
      <c r="H229" s="133"/>
      <c r="I229" s="133" t="str">
        <f>IFERROR(_xlfn.XLOOKUP($A229,'Raw Data'!$G:$G,'Raw Data'!$AC:$AC),"")</f>
        <v/>
      </c>
      <c r="J229" s="133"/>
      <c r="K229" s="133" t="str">
        <f>IFERROR(_xlfn.XLOOKUP($A229,'Raw Data'!$G:$G,'Raw Data'!AD:AD),"")</f>
        <v/>
      </c>
      <c r="L229" s="133" t="str">
        <f>IFERROR(_xlfn.XLOOKUP($A229,'Raw Data'!$G:$G,'Raw Data'!AE:AE),"")</f>
        <v/>
      </c>
      <c r="M229" s="133" t="str">
        <f>IFERROR(_xlfn.XLOOKUP($A229,'Raw Data'!$G:$G,'Raw Data'!AF:AF),"")</f>
        <v/>
      </c>
      <c r="N229" s="133" t="str">
        <f>IFERROR(_xlfn.XLOOKUP($A229,'Raw Data'!$G:$G,'Raw Data'!AG:AG),"")</f>
        <v/>
      </c>
      <c r="O229" s="134" t="str">
        <f>IFERROR(1-SUMIF('Plant BD'!$H:$H,$A229,'Plant BD'!$AE:$AE)/($AA229+SUMIF('Plant BD'!$H:$H,$A229,'Plant BD'!$AE:$AE)),"")</f>
        <v/>
      </c>
      <c r="P229" s="134"/>
      <c r="Q229" s="135"/>
      <c r="R229" s="134" t="str">
        <f>IFERROR(1-SUMIF('Grid BD'!$H:$H,$A229,'Grid BD'!$AD:$AD)/($AA229+SUMIF('Grid BD'!$H:$H,$A229,'Grid BD'!$AD:$AD)),"")</f>
        <v/>
      </c>
      <c r="T229" s="135"/>
      <c r="U229" s="136" t="str">
        <f t="shared" si="13"/>
        <v/>
      </c>
      <c r="V229" s="136"/>
      <c r="W229" s="137" t="str">
        <f t="shared" si="14"/>
        <v/>
      </c>
      <c r="X229" s="130" t="str">
        <f>IFERROR(_xlfn.XLOOKUP($A229,'Raw Data'!$G:$G,'Raw Data'!AI:AI),"")</f>
        <v/>
      </c>
      <c r="Y229" s="130" t="str">
        <f>IFERROR(_xlfn.XLOOKUP($A229,'Raw Data'!$G:$G,'Raw Data'!AJ:AJ),"")</f>
        <v/>
      </c>
      <c r="Z229" s="130" t="str">
        <f>IFERROR(_xlfn.XLOOKUP($A229,'Raw Data'!$G:$G,'Raw Data'!AK:AK),"")</f>
        <v/>
      </c>
      <c r="AA229" s="130" t="str">
        <f>IFERROR(_xlfn.XLOOKUP($A229,'Raw Data'!$G:$G,'Raw Data'!AL:AL),"")</f>
        <v/>
      </c>
      <c r="AB229" s="130" t="str">
        <f>IFERROR(_xlfn.XLOOKUP($A229,'Raw Data'!$G:$G,'Raw Data'!H:H),"")</f>
        <v/>
      </c>
      <c r="AC229" s="76">
        <f>IFERROR(_xlfn.XLOOKUP($D229,'Modelling New'!$D:$D,'Modelling New'!P:P),"")</f>
        <v>5.4333333333333336</v>
      </c>
      <c r="AD229" s="130">
        <f>IFERROR(_xlfn.XLOOKUP($D229,'Modelling New'!$D:$D,'Modelling New'!$T:$T)*1000,"")</f>
        <v>30935.368854830132</v>
      </c>
      <c r="AE229" s="138">
        <f>IFERROR(_xlfn.XLOOKUP($D229,'Modelling New'!$D:$D,'Modelling New'!O:O),"")</f>
        <v>0.70984879123298372</v>
      </c>
      <c r="AF229" s="137">
        <f>IFERROR(_xlfn.XLOOKUP($D229,'Modelling New'!$D:$D,'Modelling New'!W:W),"")</f>
        <v>0.160701879126356</v>
      </c>
      <c r="AG229" s="137">
        <f>IFERROR(_xlfn.XLOOKUP($D229,'Modelling New'!$D:$D,'Modelling New'!AE:AE),"")</f>
        <v>0.98040000000000005</v>
      </c>
      <c r="AH229" s="156">
        <f>IFERROR(_xlfn.XLOOKUP($D229,'Modelling New'!$D:$D,'Modelling New'!AF:AF),"")</f>
        <v>0.98</v>
      </c>
      <c r="AN229" s="134"/>
      <c r="AO229" s="137"/>
      <c r="AP229" s="137"/>
      <c r="AQ229" s="137"/>
      <c r="AR229" s="130">
        <f>'Basic Data'!$B$98/1000</f>
        <v>8.0208999999999993</v>
      </c>
    </row>
    <row r="230" spans="1:44" x14ac:dyDescent="0.3">
      <c r="A230" s="129">
        <f t="shared" si="15"/>
        <v>45973</v>
      </c>
      <c r="B230" s="130">
        <f>YEAR(Table13[[#This Row],[Date]])+IF(MONTH(Table13[[#This Row],[Date]])&gt;=4,1,0)</f>
        <v>2026</v>
      </c>
      <c r="C230" s="7">
        <f>YEAR(Table13[[#This Row],[Date]])</f>
        <v>2025</v>
      </c>
      <c r="D230" s="131">
        <f>Table13[[#This Row],[Date]]-DAY(Table13[[#This Row],[Date]])+1</f>
        <v>45962</v>
      </c>
      <c r="E230" s="7">
        <f t="shared" si="12"/>
        <v>30</v>
      </c>
      <c r="F230" s="132" t="str">
        <f>IFERROR(_xlfn.XLOOKUP($A230,'Raw Data'!$G:$G,'Raw Data'!$AM:$AM),"")</f>
        <v/>
      </c>
      <c r="G230" s="133" t="str">
        <f>IFERROR(_xlfn.XLOOKUP($A230,'Raw Data'!$G:$G,'Raw Data'!$AB:$AB),"")</f>
        <v/>
      </c>
      <c r="H230" s="133"/>
      <c r="I230" s="133" t="str">
        <f>IFERROR(_xlfn.XLOOKUP($A230,'Raw Data'!$G:$G,'Raw Data'!$AC:$AC),"")</f>
        <v/>
      </c>
      <c r="J230" s="133"/>
      <c r="K230" s="133" t="str">
        <f>IFERROR(_xlfn.XLOOKUP($A230,'Raw Data'!$G:$G,'Raw Data'!AD:AD),"")</f>
        <v/>
      </c>
      <c r="L230" s="133" t="str">
        <f>IFERROR(_xlfn.XLOOKUP($A230,'Raw Data'!$G:$G,'Raw Data'!AE:AE),"")</f>
        <v/>
      </c>
      <c r="M230" s="133" t="str">
        <f>IFERROR(_xlfn.XLOOKUP($A230,'Raw Data'!$G:$G,'Raw Data'!AF:AF),"")</f>
        <v/>
      </c>
      <c r="N230" s="133" t="str">
        <f>IFERROR(_xlfn.XLOOKUP($A230,'Raw Data'!$G:$G,'Raw Data'!AG:AG),"")</f>
        <v/>
      </c>
      <c r="O230" s="134" t="str">
        <f>IFERROR(1-SUMIF('Plant BD'!$H:$H,$A230,'Plant BD'!$AE:$AE)/($AA230+SUMIF('Plant BD'!$H:$H,$A230,'Plant BD'!$AE:$AE)),"")</f>
        <v/>
      </c>
      <c r="P230" s="134"/>
      <c r="Q230" s="135"/>
      <c r="R230" s="134" t="str">
        <f>IFERROR(1-SUMIF('Grid BD'!$H:$H,$A230,'Grid BD'!$AD:$AD)/($AA230+SUMIF('Grid BD'!$H:$H,$A230,'Grid BD'!$AD:$AD)),"")</f>
        <v/>
      </c>
      <c r="T230" s="135"/>
      <c r="U230" s="136" t="str">
        <f t="shared" si="13"/>
        <v/>
      </c>
      <c r="V230" s="136"/>
      <c r="W230" s="137" t="str">
        <f t="shared" si="14"/>
        <v/>
      </c>
      <c r="X230" s="130" t="str">
        <f>IFERROR(_xlfn.XLOOKUP($A230,'Raw Data'!$G:$G,'Raw Data'!AI:AI),"")</f>
        <v/>
      </c>
      <c r="Y230" s="130" t="str">
        <f>IFERROR(_xlfn.XLOOKUP($A230,'Raw Data'!$G:$G,'Raw Data'!AJ:AJ),"")</f>
        <v/>
      </c>
      <c r="Z230" s="130" t="str">
        <f>IFERROR(_xlfn.XLOOKUP($A230,'Raw Data'!$G:$G,'Raw Data'!AK:AK),"")</f>
        <v/>
      </c>
      <c r="AA230" s="130" t="str">
        <f>IFERROR(_xlfn.XLOOKUP($A230,'Raw Data'!$G:$G,'Raw Data'!AL:AL),"")</f>
        <v/>
      </c>
      <c r="AB230" s="130" t="str">
        <f>IFERROR(_xlfn.XLOOKUP($A230,'Raw Data'!$G:$G,'Raw Data'!H:H),"")</f>
        <v/>
      </c>
      <c r="AC230" s="76">
        <f>IFERROR(_xlfn.XLOOKUP($D230,'Modelling New'!$D:$D,'Modelling New'!P:P),"")</f>
        <v>5.4333333333333336</v>
      </c>
      <c r="AD230" s="130">
        <f>IFERROR(_xlfn.XLOOKUP($D230,'Modelling New'!$D:$D,'Modelling New'!$T:$T)*1000,"")</f>
        <v>30935.368854830132</v>
      </c>
      <c r="AE230" s="138">
        <f>IFERROR(_xlfn.XLOOKUP($D230,'Modelling New'!$D:$D,'Modelling New'!O:O),"")</f>
        <v>0.70984879123298372</v>
      </c>
      <c r="AF230" s="137">
        <f>IFERROR(_xlfn.XLOOKUP($D230,'Modelling New'!$D:$D,'Modelling New'!W:W),"")</f>
        <v>0.160701879126356</v>
      </c>
      <c r="AG230" s="137">
        <f>IFERROR(_xlfn.XLOOKUP($D230,'Modelling New'!$D:$D,'Modelling New'!AE:AE),"")</f>
        <v>0.98040000000000005</v>
      </c>
      <c r="AH230" s="156">
        <f>IFERROR(_xlfn.XLOOKUP($D230,'Modelling New'!$D:$D,'Modelling New'!AF:AF),"")</f>
        <v>0.98</v>
      </c>
      <c r="AN230" s="134"/>
      <c r="AO230" s="137"/>
      <c r="AP230" s="137"/>
      <c r="AQ230" s="137"/>
      <c r="AR230" s="130">
        <f>'Basic Data'!$B$98/1000</f>
        <v>8.0208999999999993</v>
      </c>
    </row>
    <row r="231" spans="1:44" x14ac:dyDescent="0.3">
      <c r="A231" s="129">
        <f t="shared" si="15"/>
        <v>45974</v>
      </c>
      <c r="B231" s="130">
        <f>YEAR(Table13[[#This Row],[Date]])+IF(MONTH(Table13[[#This Row],[Date]])&gt;=4,1,0)</f>
        <v>2026</v>
      </c>
      <c r="C231" s="7">
        <f>YEAR(Table13[[#This Row],[Date]])</f>
        <v>2025</v>
      </c>
      <c r="D231" s="131">
        <f>Table13[[#This Row],[Date]]-DAY(Table13[[#This Row],[Date]])+1</f>
        <v>45962</v>
      </c>
      <c r="E231" s="7">
        <f t="shared" si="12"/>
        <v>30</v>
      </c>
      <c r="F231" s="132" t="str">
        <f>IFERROR(_xlfn.XLOOKUP($A231,'Raw Data'!$G:$G,'Raw Data'!$AM:$AM),"")</f>
        <v/>
      </c>
      <c r="G231" s="133" t="str">
        <f>IFERROR(_xlfn.XLOOKUP($A231,'Raw Data'!$G:$G,'Raw Data'!$AB:$AB),"")</f>
        <v/>
      </c>
      <c r="H231" s="133"/>
      <c r="I231" s="133" t="str">
        <f>IFERROR(_xlfn.XLOOKUP($A231,'Raw Data'!$G:$G,'Raw Data'!$AC:$AC),"")</f>
        <v/>
      </c>
      <c r="J231" s="133"/>
      <c r="K231" s="133" t="str">
        <f>IFERROR(_xlfn.XLOOKUP($A231,'Raw Data'!$G:$G,'Raw Data'!AD:AD),"")</f>
        <v/>
      </c>
      <c r="L231" s="133" t="str">
        <f>IFERROR(_xlfn.XLOOKUP($A231,'Raw Data'!$G:$G,'Raw Data'!AE:AE),"")</f>
        <v/>
      </c>
      <c r="M231" s="133" t="str">
        <f>IFERROR(_xlfn.XLOOKUP($A231,'Raw Data'!$G:$G,'Raw Data'!AF:AF),"")</f>
        <v/>
      </c>
      <c r="N231" s="133" t="str">
        <f>IFERROR(_xlfn.XLOOKUP($A231,'Raw Data'!$G:$G,'Raw Data'!AG:AG),"")</f>
        <v/>
      </c>
      <c r="O231" s="134" t="str">
        <f>IFERROR(1-SUMIF('Plant BD'!$H:$H,$A231,'Plant BD'!$AE:$AE)/($AA231+SUMIF('Plant BD'!$H:$H,$A231,'Plant BD'!$AE:$AE)),"")</f>
        <v/>
      </c>
      <c r="P231" s="134"/>
      <c r="Q231" s="135"/>
      <c r="R231" s="134" t="str">
        <f>IFERROR(1-SUMIF('Grid BD'!$H:$H,$A231,'Grid BD'!$AD:$AD)/($AA231+SUMIF('Grid BD'!$H:$H,$A231,'Grid BD'!$AD:$AD)),"")</f>
        <v/>
      </c>
      <c r="T231" s="135"/>
      <c r="U231" s="136" t="str">
        <f t="shared" si="13"/>
        <v/>
      </c>
      <c r="V231" s="136"/>
      <c r="W231" s="137" t="str">
        <f t="shared" si="14"/>
        <v/>
      </c>
      <c r="X231" s="130" t="str">
        <f>IFERROR(_xlfn.XLOOKUP($A231,'Raw Data'!$G:$G,'Raw Data'!AI:AI),"")</f>
        <v/>
      </c>
      <c r="Y231" s="130" t="str">
        <f>IFERROR(_xlfn.XLOOKUP($A231,'Raw Data'!$G:$G,'Raw Data'!AJ:AJ),"")</f>
        <v/>
      </c>
      <c r="Z231" s="130" t="str">
        <f>IFERROR(_xlfn.XLOOKUP($A231,'Raw Data'!$G:$G,'Raw Data'!AK:AK),"")</f>
        <v/>
      </c>
      <c r="AA231" s="130" t="str">
        <f>IFERROR(_xlfn.XLOOKUP($A231,'Raw Data'!$G:$G,'Raw Data'!AL:AL),"")</f>
        <v/>
      </c>
      <c r="AB231" s="130" t="str">
        <f>IFERROR(_xlfn.XLOOKUP($A231,'Raw Data'!$G:$G,'Raw Data'!H:H),"")</f>
        <v/>
      </c>
      <c r="AC231" s="76">
        <f>IFERROR(_xlfn.XLOOKUP($D231,'Modelling New'!$D:$D,'Modelling New'!P:P),"")</f>
        <v>5.4333333333333336</v>
      </c>
      <c r="AD231" s="130">
        <f>IFERROR(_xlfn.XLOOKUP($D231,'Modelling New'!$D:$D,'Modelling New'!$T:$T)*1000,"")</f>
        <v>30935.368854830132</v>
      </c>
      <c r="AE231" s="138">
        <f>IFERROR(_xlfn.XLOOKUP($D231,'Modelling New'!$D:$D,'Modelling New'!O:O),"")</f>
        <v>0.70984879123298372</v>
      </c>
      <c r="AF231" s="137">
        <f>IFERROR(_xlfn.XLOOKUP($D231,'Modelling New'!$D:$D,'Modelling New'!W:W),"")</f>
        <v>0.160701879126356</v>
      </c>
      <c r="AG231" s="137">
        <f>IFERROR(_xlfn.XLOOKUP($D231,'Modelling New'!$D:$D,'Modelling New'!AE:AE),"")</f>
        <v>0.98040000000000005</v>
      </c>
      <c r="AH231" s="156">
        <f>IFERROR(_xlfn.XLOOKUP($D231,'Modelling New'!$D:$D,'Modelling New'!AF:AF),"")</f>
        <v>0.98</v>
      </c>
      <c r="AN231" s="134"/>
      <c r="AO231" s="137"/>
      <c r="AP231" s="137"/>
      <c r="AQ231" s="137"/>
      <c r="AR231" s="130">
        <f>'Basic Data'!$B$98/1000</f>
        <v>8.0208999999999993</v>
      </c>
    </row>
    <row r="232" spans="1:44" x14ac:dyDescent="0.3">
      <c r="A232" s="129">
        <f t="shared" si="15"/>
        <v>45975</v>
      </c>
      <c r="B232" s="130">
        <f>YEAR(Table13[[#This Row],[Date]])+IF(MONTH(Table13[[#This Row],[Date]])&gt;=4,1,0)</f>
        <v>2026</v>
      </c>
      <c r="C232" s="7">
        <f>YEAR(Table13[[#This Row],[Date]])</f>
        <v>2025</v>
      </c>
      <c r="D232" s="131">
        <f>Table13[[#This Row],[Date]]-DAY(Table13[[#This Row],[Date]])+1</f>
        <v>45962</v>
      </c>
      <c r="E232" s="7">
        <f t="shared" si="12"/>
        <v>30</v>
      </c>
      <c r="F232" s="132" t="str">
        <f>IFERROR(_xlfn.XLOOKUP($A232,'Raw Data'!$G:$G,'Raw Data'!$AM:$AM),"")</f>
        <v/>
      </c>
      <c r="G232" s="133" t="str">
        <f>IFERROR(_xlfn.XLOOKUP($A232,'Raw Data'!$G:$G,'Raw Data'!$AB:$AB),"")</f>
        <v/>
      </c>
      <c r="H232" s="133"/>
      <c r="I232" s="133" t="str">
        <f>IFERROR(_xlfn.XLOOKUP($A232,'Raw Data'!$G:$G,'Raw Data'!$AC:$AC),"")</f>
        <v/>
      </c>
      <c r="J232" s="133"/>
      <c r="K232" s="133" t="str">
        <f>IFERROR(_xlfn.XLOOKUP($A232,'Raw Data'!$G:$G,'Raw Data'!AD:AD),"")</f>
        <v/>
      </c>
      <c r="L232" s="133" t="str">
        <f>IFERROR(_xlfn.XLOOKUP($A232,'Raw Data'!$G:$G,'Raw Data'!AE:AE),"")</f>
        <v/>
      </c>
      <c r="M232" s="133" t="str">
        <f>IFERROR(_xlfn.XLOOKUP($A232,'Raw Data'!$G:$G,'Raw Data'!AF:AF),"")</f>
        <v/>
      </c>
      <c r="N232" s="133" t="str">
        <f>IFERROR(_xlfn.XLOOKUP($A232,'Raw Data'!$G:$G,'Raw Data'!AG:AG),"")</f>
        <v/>
      </c>
      <c r="O232" s="134" t="str">
        <f>IFERROR(1-SUMIF('Plant BD'!$H:$H,$A232,'Plant BD'!$AE:$AE)/($AA232+SUMIF('Plant BD'!$H:$H,$A232,'Plant BD'!$AE:$AE)),"")</f>
        <v/>
      </c>
      <c r="P232" s="134"/>
      <c r="Q232" s="135"/>
      <c r="R232" s="134" t="str">
        <f>IFERROR(1-SUMIF('Grid BD'!$H:$H,$A232,'Grid BD'!$AD:$AD)/($AA232+SUMIF('Grid BD'!$H:$H,$A232,'Grid BD'!$AD:$AD)),"")</f>
        <v/>
      </c>
      <c r="T232" s="135"/>
      <c r="U232" s="136" t="str">
        <f t="shared" si="13"/>
        <v/>
      </c>
      <c r="V232" s="136"/>
      <c r="W232" s="137" t="str">
        <f t="shared" si="14"/>
        <v/>
      </c>
      <c r="X232" s="130" t="str">
        <f>IFERROR(_xlfn.XLOOKUP($A232,'Raw Data'!$G:$G,'Raw Data'!AI:AI),"")</f>
        <v/>
      </c>
      <c r="Y232" s="130" t="str">
        <f>IFERROR(_xlfn.XLOOKUP($A232,'Raw Data'!$G:$G,'Raw Data'!AJ:AJ),"")</f>
        <v/>
      </c>
      <c r="Z232" s="130" t="str">
        <f>IFERROR(_xlfn.XLOOKUP($A232,'Raw Data'!$G:$G,'Raw Data'!AK:AK),"")</f>
        <v/>
      </c>
      <c r="AA232" s="130" t="str">
        <f>IFERROR(_xlfn.XLOOKUP($A232,'Raw Data'!$G:$G,'Raw Data'!AL:AL),"")</f>
        <v/>
      </c>
      <c r="AB232" s="130" t="str">
        <f>IFERROR(_xlfn.XLOOKUP($A232,'Raw Data'!$G:$G,'Raw Data'!H:H),"")</f>
        <v/>
      </c>
      <c r="AC232" s="76">
        <f>IFERROR(_xlfn.XLOOKUP($D232,'Modelling New'!$D:$D,'Modelling New'!P:P),"")</f>
        <v>5.4333333333333336</v>
      </c>
      <c r="AD232" s="130">
        <f>IFERROR(_xlfn.XLOOKUP($D232,'Modelling New'!$D:$D,'Modelling New'!$T:$T)*1000,"")</f>
        <v>30935.368854830132</v>
      </c>
      <c r="AE232" s="138">
        <f>IFERROR(_xlfn.XLOOKUP($D232,'Modelling New'!$D:$D,'Modelling New'!O:O),"")</f>
        <v>0.70984879123298372</v>
      </c>
      <c r="AF232" s="137">
        <f>IFERROR(_xlfn.XLOOKUP($D232,'Modelling New'!$D:$D,'Modelling New'!W:W),"")</f>
        <v>0.160701879126356</v>
      </c>
      <c r="AG232" s="137">
        <f>IFERROR(_xlfn.XLOOKUP($D232,'Modelling New'!$D:$D,'Modelling New'!AE:AE),"")</f>
        <v>0.98040000000000005</v>
      </c>
      <c r="AH232" s="156">
        <f>IFERROR(_xlfn.XLOOKUP($D232,'Modelling New'!$D:$D,'Modelling New'!AF:AF),"")</f>
        <v>0.98</v>
      </c>
      <c r="AN232" s="134"/>
      <c r="AO232" s="137"/>
      <c r="AP232" s="137"/>
      <c r="AQ232" s="137"/>
      <c r="AR232" s="130">
        <f>'Basic Data'!$B$98/1000</f>
        <v>8.0208999999999993</v>
      </c>
    </row>
    <row r="233" spans="1:44" x14ac:dyDescent="0.3">
      <c r="A233" s="129">
        <f t="shared" si="15"/>
        <v>45976</v>
      </c>
      <c r="B233" s="130">
        <f>YEAR(Table13[[#This Row],[Date]])+IF(MONTH(Table13[[#This Row],[Date]])&gt;=4,1,0)</f>
        <v>2026</v>
      </c>
      <c r="C233" s="7">
        <f>YEAR(Table13[[#This Row],[Date]])</f>
        <v>2025</v>
      </c>
      <c r="D233" s="131">
        <f>Table13[[#This Row],[Date]]-DAY(Table13[[#This Row],[Date]])+1</f>
        <v>45962</v>
      </c>
      <c r="E233" s="7">
        <f t="shared" si="12"/>
        <v>30</v>
      </c>
      <c r="F233" s="132" t="str">
        <f>IFERROR(_xlfn.XLOOKUP($A233,'Raw Data'!$G:$G,'Raw Data'!$AM:$AM),"")</f>
        <v/>
      </c>
      <c r="G233" s="133" t="str">
        <f>IFERROR(_xlfn.XLOOKUP($A233,'Raw Data'!$G:$G,'Raw Data'!$AB:$AB),"")</f>
        <v/>
      </c>
      <c r="H233" s="133"/>
      <c r="I233" s="133" t="str">
        <f>IFERROR(_xlfn.XLOOKUP($A233,'Raw Data'!$G:$G,'Raw Data'!$AC:$AC),"")</f>
        <v/>
      </c>
      <c r="J233" s="133"/>
      <c r="K233" s="133" t="str">
        <f>IFERROR(_xlfn.XLOOKUP($A233,'Raw Data'!$G:$G,'Raw Data'!AD:AD),"")</f>
        <v/>
      </c>
      <c r="L233" s="133" t="str">
        <f>IFERROR(_xlfn.XLOOKUP($A233,'Raw Data'!$G:$G,'Raw Data'!AE:AE),"")</f>
        <v/>
      </c>
      <c r="M233" s="133" t="str">
        <f>IFERROR(_xlfn.XLOOKUP($A233,'Raw Data'!$G:$G,'Raw Data'!AF:AF),"")</f>
        <v/>
      </c>
      <c r="N233" s="133" t="str">
        <f>IFERROR(_xlfn.XLOOKUP($A233,'Raw Data'!$G:$G,'Raw Data'!AG:AG),"")</f>
        <v/>
      </c>
      <c r="O233" s="134" t="str">
        <f>IFERROR(1-SUMIF('Plant BD'!$H:$H,$A233,'Plant BD'!$AE:$AE)/($AA233+SUMIF('Plant BD'!$H:$H,$A233,'Plant BD'!$AE:$AE)),"")</f>
        <v/>
      </c>
      <c r="P233" s="134"/>
      <c r="Q233" s="135"/>
      <c r="R233" s="134" t="str">
        <f>IFERROR(1-SUMIF('Grid BD'!$H:$H,$A233,'Grid BD'!$AD:$AD)/($AA233+SUMIF('Grid BD'!$H:$H,$A233,'Grid BD'!$AD:$AD)),"")</f>
        <v/>
      </c>
      <c r="T233" s="135"/>
      <c r="U233" s="136" t="str">
        <f t="shared" si="13"/>
        <v/>
      </c>
      <c r="V233" s="136"/>
      <c r="W233" s="137" t="str">
        <f t="shared" si="14"/>
        <v/>
      </c>
      <c r="X233" s="130" t="str">
        <f>IFERROR(_xlfn.XLOOKUP($A233,'Raw Data'!$G:$G,'Raw Data'!AI:AI),"")</f>
        <v/>
      </c>
      <c r="Y233" s="130" t="str">
        <f>IFERROR(_xlfn.XLOOKUP($A233,'Raw Data'!$G:$G,'Raw Data'!AJ:AJ),"")</f>
        <v/>
      </c>
      <c r="Z233" s="130" t="str">
        <f>IFERROR(_xlfn.XLOOKUP($A233,'Raw Data'!$G:$G,'Raw Data'!AK:AK),"")</f>
        <v/>
      </c>
      <c r="AA233" s="130" t="str">
        <f>IFERROR(_xlfn.XLOOKUP($A233,'Raw Data'!$G:$G,'Raw Data'!AL:AL),"")</f>
        <v/>
      </c>
      <c r="AB233" s="130" t="str">
        <f>IFERROR(_xlfn.XLOOKUP($A233,'Raw Data'!$G:$G,'Raw Data'!H:H),"")</f>
        <v/>
      </c>
      <c r="AC233" s="76">
        <f>IFERROR(_xlfn.XLOOKUP($D233,'Modelling New'!$D:$D,'Modelling New'!P:P),"")</f>
        <v>5.4333333333333336</v>
      </c>
      <c r="AD233" s="130">
        <f>IFERROR(_xlfn.XLOOKUP($D233,'Modelling New'!$D:$D,'Modelling New'!$T:$T)*1000,"")</f>
        <v>30935.368854830132</v>
      </c>
      <c r="AE233" s="138">
        <f>IFERROR(_xlfn.XLOOKUP($D233,'Modelling New'!$D:$D,'Modelling New'!O:O),"")</f>
        <v>0.70984879123298372</v>
      </c>
      <c r="AF233" s="137">
        <f>IFERROR(_xlfn.XLOOKUP($D233,'Modelling New'!$D:$D,'Modelling New'!W:W),"")</f>
        <v>0.160701879126356</v>
      </c>
      <c r="AG233" s="137">
        <f>IFERROR(_xlfn.XLOOKUP($D233,'Modelling New'!$D:$D,'Modelling New'!AE:AE),"")</f>
        <v>0.98040000000000005</v>
      </c>
      <c r="AH233" s="156">
        <f>IFERROR(_xlfn.XLOOKUP($D233,'Modelling New'!$D:$D,'Modelling New'!AF:AF),"")</f>
        <v>0.98</v>
      </c>
      <c r="AN233" s="134"/>
      <c r="AO233" s="137"/>
      <c r="AP233" s="137"/>
      <c r="AQ233" s="137"/>
      <c r="AR233" s="130">
        <f>'Basic Data'!$B$98/1000</f>
        <v>8.0208999999999993</v>
      </c>
    </row>
    <row r="234" spans="1:44" x14ac:dyDescent="0.3">
      <c r="A234" s="129">
        <f t="shared" si="15"/>
        <v>45977</v>
      </c>
      <c r="B234" s="130">
        <f>YEAR(Table13[[#This Row],[Date]])+IF(MONTH(Table13[[#This Row],[Date]])&gt;=4,1,0)</f>
        <v>2026</v>
      </c>
      <c r="C234" s="7">
        <f>YEAR(Table13[[#This Row],[Date]])</f>
        <v>2025</v>
      </c>
      <c r="D234" s="131">
        <f>Table13[[#This Row],[Date]]-DAY(Table13[[#This Row],[Date]])+1</f>
        <v>45962</v>
      </c>
      <c r="E234" s="7">
        <f t="shared" si="12"/>
        <v>30</v>
      </c>
      <c r="F234" s="132" t="str">
        <f>IFERROR(_xlfn.XLOOKUP($A234,'Raw Data'!$G:$G,'Raw Data'!$AM:$AM),"")</f>
        <v/>
      </c>
      <c r="G234" s="133" t="str">
        <f>IFERROR(_xlfn.XLOOKUP($A234,'Raw Data'!$G:$G,'Raw Data'!$AB:$AB),"")</f>
        <v/>
      </c>
      <c r="H234" s="133"/>
      <c r="I234" s="133" t="str">
        <f>IFERROR(_xlfn.XLOOKUP($A234,'Raw Data'!$G:$G,'Raw Data'!$AC:$AC),"")</f>
        <v/>
      </c>
      <c r="J234" s="133"/>
      <c r="K234" s="133" t="str">
        <f>IFERROR(_xlfn.XLOOKUP($A234,'Raw Data'!$G:$G,'Raw Data'!AD:AD),"")</f>
        <v/>
      </c>
      <c r="L234" s="133" t="str">
        <f>IFERROR(_xlfn.XLOOKUP($A234,'Raw Data'!$G:$G,'Raw Data'!AE:AE),"")</f>
        <v/>
      </c>
      <c r="M234" s="133" t="str">
        <f>IFERROR(_xlfn.XLOOKUP($A234,'Raw Data'!$G:$G,'Raw Data'!AF:AF),"")</f>
        <v/>
      </c>
      <c r="N234" s="133" t="str">
        <f>IFERROR(_xlfn.XLOOKUP($A234,'Raw Data'!$G:$G,'Raw Data'!AG:AG),"")</f>
        <v/>
      </c>
      <c r="O234" s="134" t="str">
        <f>IFERROR(1-SUMIF('Plant BD'!$H:$H,$A234,'Plant BD'!$AE:$AE)/($AA234+SUMIF('Plant BD'!$H:$H,$A234,'Plant BD'!$AE:$AE)),"")</f>
        <v/>
      </c>
      <c r="P234" s="134"/>
      <c r="Q234" s="135"/>
      <c r="R234" s="134" t="str">
        <f>IFERROR(1-SUMIF('Grid BD'!$H:$H,$A234,'Grid BD'!$AD:$AD)/($AA234+SUMIF('Grid BD'!$H:$H,$A234,'Grid BD'!$AD:$AD)),"")</f>
        <v/>
      </c>
      <c r="T234" s="135"/>
      <c r="U234" s="136" t="str">
        <f t="shared" si="13"/>
        <v/>
      </c>
      <c r="V234" s="136"/>
      <c r="W234" s="137" t="str">
        <f t="shared" si="14"/>
        <v/>
      </c>
      <c r="X234" s="130" t="str">
        <f>IFERROR(_xlfn.XLOOKUP($A234,'Raw Data'!$G:$G,'Raw Data'!AI:AI),"")</f>
        <v/>
      </c>
      <c r="Y234" s="130" t="str">
        <f>IFERROR(_xlfn.XLOOKUP($A234,'Raw Data'!$G:$G,'Raw Data'!AJ:AJ),"")</f>
        <v/>
      </c>
      <c r="Z234" s="130" t="str">
        <f>IFERROR(_xlfn.XLOOKUP($A234,'Raw Data'!$G:$G,'Raw Data'!AK:AK),"")</f>
        <v/>
      </c>
      <c r="AA234" s="130" t="str">
        <f>IFERROR(_xlfn.XLOOKUP($A234,'Raw Data'!$G:$G,'Raw Data'!AL:AL),"")</f>
        <v/>
      </c>
      <c r="AB234" s="130" t="str">
        <f>IFERROR(_xlfn.XLOOKUP($A234,'Raw Data'!$G:$G,'Raw Data'!H:H),"")</f>
        <v/>
      </c>
      <c r="AC234" s="76">
        <f>IFERROR(_xlfn.XLOOKUP($D234,'Modelling New'!$D:$D,'Modelling New'!P:P),"")</f>
        <v>5.4333333333333336</v>
      </c>
      <c r="AD234" s="130">
        <f>IFERROR(_xlfn.XLOOKUP($D234,'Modelling New'!$D:$D,'Modelling New'!$T:$T)*1000,"")</f>
        <v>30935.368854830132</v>
      </c>
      <c r="AE234" s="138">
        <f>IFERROR(_xlfn.XLOOKUP($D234,'Modelling New'!$D:$D,'Modelling New'!O:O),"")</f>
        <v>0.70984879123298372</v>
      </c>
      <c r="AF234" s="137">
        <f>IFERROR(_xlfn.XLOOKUP($D234,'Modelling New'!$D:$D,'Modelling New'!W:W),"")</f>
        <v>0.160701879126356</v>
      </c>
      <c r="AG234" s="137">
        <f>IFERROR(_xlfn.XLOOKUP($D234,'Modelling New'!$D:$D,'Modelling New'!AE:AE),"")</f>
        <v>0.98040000000000005</v>
      </c>
      <c r="AH234" s="156">
        <f>IFERROR(_xlfn.XLOOKUP($D234,'Modelling New'!$D:$D,'Modelling New'!AF:AF),"")</f>
        <v>0.98</v>
      </c>
      <c r="AN234" s="134"/>
      <c r="AO234" s="137"/>
      <c r="AP234" s="137"/>
      <c r="AQ234" s="137"/>
      <c r="AR234" s="130">
        <f>'Basic Data'!$B$98/1000</f>
        <v>8.0208999999999993</v>
      </c>
    </row>
    <row r="235" spans="1:44" x14ac:dyDescent="0.3">
      <c r="A235" s="129">
        <f t="shared" si="15"/>
        <v>45978</v>
      </c>
      <c r="B235" s="130">
        <f>YEAR(Table13[[#This Row],[Date]])+IF(MONTH(Table13[[#This Row],[Date]])&gt;=4,1,0)</f>
        <v>2026</v>
      </c>
      <c r="C235" s="7">
        <f>YEAR(Table13[[#This Row],[Date]])</f>
        <v>2025</v>
      </c>
      <c r="D235" s="131">
        <f>Table13[[#This Row],[Date]]-DAY(Table13[[#This Row],[Date]])+1</f>
        <v>45962</v>
      </c>
      <c r="E235" s="7">
        <f t="shared" si="12"/>
        <v>30</v>
      </c>
      <c r="F235" s="132" t="str">
        <f>IFERROR(_xlfn.XLOOKUP($A235,'Raw Data'!$G:$G,'Raw Data'!$AM:$AM),"")</f>
        <v/>
      </c>
      <c r="G235" s="133" t="str">
        <f>IFERROR(_xlfn.XLOOKUP($A235,'Raw Data'!$G:$G,'Raw Data'!$AB:$AB),"")</f>
        <v/>
      </c>
      <c r="H235" s="133"/>
      <c r="I235" s="133" t="str">
        <f>IFERROR(_xlfn.XLOOKUP($A235,'Raw Data'!$G:$G,'Raw Data'!$AC:$AC),"")</f>
        <v/>
      </c>
      <c r="J235" s="133"/>
      <c r="K235" s="133" t="str">
        <f>IFERROR(_xlfn.XLOOKUP($A235,'Raw Data'!$G:$G,'Raw Data'!AD:AD),"")</f>
        <v/>
      </c>
      <c r="L235" s="133" t="str">
        <f>IFERROR(_xlfn.XLOOKUP($A235,'Raw Data'!$G:$G,'Raw Data'!AE:AE),"")</f>
        <v/>
      </c>
      <c r="M235" s="133" t="str">
        <f>IFERROR(_xlfn.XLOOKUP($A235,'Raw Data'!$G:$G,'Raw Data'!AF:AF),"")</f>
        <v/>
      </c>
      <c r="N235" s="133" t="str">
        <f>IFERROR(_xlfn.XLOOKUP($A235,'Raw Data'!$G:$G,'Raw Data'!AG:AG),"")</f>
        <v/>
      </c>
      <c r="O235" s="134" t="str">
        <f>IFERROR(1-SUMIF('Plant BD'!$H:$H,$A235,'Plant BD'!$AE:$AE)/($AA235+SUMIF('Plant BD'!$H:$H,$A235,'Plant BD'!$AE:$AE)),"")</f>
        <v/>
      </c>
      <c r="P235" s="134"/>
      <c r="Q235" s="135"/>
      <c r="R235" s="134" t="str">
        <f>IFERROR(1-SUMIF('Grid BD'!$H:$H,$A235,'Grid BD'!$AD:$AD)/($AA235+SUMIF('Grid BD'!$H:$H,$A235,'Grid BD'!$AD:$AD)),"")</f>
        <v/>
      </c>
      <c r="T235" s="135"/>
      <c r="U235" s="136" t="str">
        <f t="shared" si="13"/>
        <v/>
      </c>
      <c r="V235" s="136"/>
      <c r="W235" s="137" t="str">
        <f t="shared" si="14"/>
        <v/>
      </c>
      <c r="X235" s="130" t="str">
        <f>IFERROR(_xlfn.XLOOKUP($A235,'Raw Data'!$G:$G,'Raw Data'!AI:AI),"")</f>
        <v/>
      </c>
      <c r="Y235" s="130" t="str">
        <f>IFERROR(_xlfn.XLOOKUP($A235,'Raw Data'!$G:$G,'Raw Data'!AJ:AJ),"")</f>
        <v/>
      </c>
      <c r="Z235" s="130" t="str">
        <f>IFERROR(_xlfn.XLOOKUP($A235,'Raw Data'!$G:$G,'Raw Data'!AK:AK),"")</f>
        <v/>
      </c>
      <c r="AA235" s="130" t="str">
        <f>IFERROR(_xlfn.XLOOKUP($A235,'Raw Data'!$G:$G,'Raw Data'!AL:AL),"")</f>
        <v/>
      </c>
      <c r="AB235" s="130" t="str">
        <f>IFERROR(_xlfn.XLOOKUP($A235,'Raw Data'!$G:$G,'Raw Data'!H:H),"")</f>
        <v/>
      </c>
      <c r="AC235" s="76">
        <f>IFERROR(_xlfn.XLOOKUP($D235,'Modelling New'!$D:$D,'Modelling New'!P:P),"")</f>
        <v>5.4333333333333336</v>
      </c>
      <c r="AD235" s="130">
        <f>IFERROR(_xlfn.XLOOKUP($D235,'Modelling New'!$D:$D,'Modelling New'!$T:$T)*1000,"")</f>
        <v>30935.368854830132</v>
      </c>
      <c r="AE235" s="138">
        <f>IFERROR(_xlfn.XLOOKUP($D235,'Modelling New'!$D:$D,'Modelling New'!O:O),"")</f>
        <v>0.70984879123298372</v>
      </c>
      <c r="AF235" s="137">
        <f>IFERROR(_xlfn.XLOOKUP($D235,'Modelling New'!$D:$D,'Modelling New'!W:W),"")</f>
        <v>0.160701879126356</v>
      </c>
      <c r="AG235" s="137">
        <f>IFERROR(_xlfn.XLOOKUP($D235,'Modelling New'!$D:$D,'Modelling New'!AE:AE),"")</f>
        <v>0.98040000000000005</v>
      </c>
      <c r="AH235" s="156">
        <f>IFERROR(_xlfn.XLOOKUP($D235,'Modelling New'!$D:$D,'Modelling New'!AF:AF),"")</f>
        <v>0.98</v>
      </c>
      <c r="AN235" s="134"/>
      <c r="AO235" s="137"/>
      <c r="AP235" s="137"/>
      <c r="AQ235" s="137"/>
      <c r="AR235" s="130">
        <f>'Basic Data'!$B$98/1000</f>
        <v>8.0208999999999993</v>
      </c>
    </row>
    <row r="236" spans="1:44" x14ac:dyDescent="0.3">
      <c r="A236" s="129">
        <f t="shared" si="15"/>
        <v>45979</v>
      </c>
      <c r="B236" s="130">
        <f>YEAR(Table13[[#This Row],[Date]])+IF(MONTH(Table13[[#This Row],[Date]])&gt;=4,1,0)</f>
        <v>2026</v>
      </c>
      <c r="C236" s="7">
        <f>YEAR(Table13[[#This Row],[Date]])</f>
        <v>2025</v>
      </c>
      <c r="D236" s="131">
        <f>Table13[[#This Row],[Date]]-DAY(Table13[[#This Row],[Date]])+1</f>
        <v>45962</v>
      </c>
      <c r="E236" s="7">
        <f t="shared" si="12"/>
        <v>30</v>
      </c>
      <c r="F236" s="132" t="str">
        <f>IFERROR(_xlfn.XLOOKUP($A236,'Raw Data'!$G:$G,'Raw Data'!$AM:$AM),"")</f>
        <v/>
      </c>
      <c r="G236" s="133" t="str">
        <f>IFERROR(_xlfn.XLOOKUP($A236,'Raw Data'!$G:$G,'Raw Data'!$AB:$AB),"")</f>
        <v/>
      </c>
      <c r="H236" s="133"/>
      <c r="I236" s="133" t="str">
        <f>IFERROR(_xlfn.XLOOKUP($A236,'Raw Data'!$G:$G,'Raw Data'!$AC:$AC),"")</f>
        <v/>
      </c>
      <c r="J236" s="133"/>
      <c r="K236" s="133" t="str">
        <f>IFERROR(_xlfn.XLOOKUP($A236,'Raw Data'!$G:$G,'Raw Data'!AD:AD),"")</f>
        <v/>
      </c>
      <c r="L236" s="133" t="str">
        <f>IFERROR(_xlfn.XLOOKUP($A236,'Raw Data'!$G:$G,'Raw Data'!AE:AE),"")</f>
        <v/>
      </c>
      <c r="M236" s="133" t="str">
        <f>IFERROR(_xlfn.XLOOKUP($A236,'Raw Data'!$G:$G,'Raw Data'!AF:AF),"")</f>
        <v/>
      </c>
      <c r="N236" s="133" t="str">
        <f>IFERROR(_xlfn.XLOOKUP($A236,'Raw Data'!$G:$G,'Raw Data'!AG:AG),"")</f>
        <v/>
      </c>
      <c r="O236" s="134" t="str">
        <f>IFERROR(1-SUMIF('Plant BD'!$H:$H,$A236,'Plant BD'!$AE:$AE)/($AA236+SUMIF('Plant BD'!$H:$H,$A236,'Plant BD'!$AE:$AE)),"")</f>
        <v/>
      </c>
      <c r="P236" s="134"/>
      <c r="Q236" s="135"/>
      <c r="R236" s="134" t="str">
        <f>IFERROR(1-SUMIF('Grid BD'!$H:$H,$A236,'Grid BD'!$AD:$AD)/($AA236+SUMIF('Grid BD'!$H:$H,$A236,'Grid BD'!$AD:$AD)),"")</f>
        <v/>
      </c>
      <c r="T236" s="135"/>
      <c r="U236" s="136" t="str">
        <f t="shared" si="13"/>
        <v/>
      </c>
      <c r="V236" s="136"/>
      <c r="W236" s="137" t="str">
        <f t="shared" si="14"/>
        <v/>
      </c>
      <c r="X236" s="130" t="str">
        <f>IFERROR(_xlfn.XLOOKUP($A236,'Raw Data'!$G:$G,'Raw Data'!AI:AI),"")</f>
        <v/>
      </c>
      <c r="Y236" s="130" t="str">
        <f>IFERROR(_xlfn.XLOOKUP($A236,'Raw Data'!$G:$G,'Raw Data'!AJ:AJ),"")</f>
        <v/>
      </c>
      <c r="Z236" s="130" t="str">
        <f>IFERROR(_xlfn.XLOOKUP($A236,'Raw Data'!$G:$G,'Raw Data'!AK:AK),"")</f>
        <v/>
      </c>
      <c r="AA236" s="130" t="str">
        <f>IFERROR(_xlfn.XLOOKUP($A236,'Raw Data'!$G:$G,'Raw Data'!AL:AL),"")</f>
        <v/>
      </c>
      <c r="AB236" s="130" t="str">
        <f>IFERROR(_xlfn.XLOOKUP($A236,'Raw Data'!$G:$G,'Raw Data'!H:H),"")</f>
        <v/>
      </c>
      <c r="AC236" s="76">
        <f>IFERROR(_xlfn.XLOOKUP($D236,'Modelling New'!$D:$D,'Modelling New'!P:P),"")</f>
        <v>5.4333333333333336</v>
      </c>
      <c r="AD236" s="130">
        <f>IFERROR(_xlfn.XLOOKUP($D236,'Modelling New'!$D:$D,'Modelling New'!$T:$T)*1000,"")</f>
        <v>30935.368854830132</v>
      </c>
      <c r="AE236" s="138">
        <f>IFERROR(_xlfn.XLOOKUP($D236,'Modelling New'!$D:$D,'Modelling New'!O:O),"")</f>
        <v>0.70984879123298372</v>
      </c>
      <c r="AF236" s="137">
        <f>IFERROR(_xlfn.XLOOKUP($D236,'Modelling New'!$D:$D,'Modelling New'!W:W),"")</f>
        <v>0.160701879126356</v>
      </c>
      <c r="AG236" s="137">
        <f>IFERROR(_xlfn.XLOOKUP($D236,'Modelling New'!$D:$D,'Modelling New'!AE:AE),"")</f>
        <v>0.98040000000000005</v>
      </c>
      <c r="AH236" s="156">
        <f>IFERROR(_xlfn.XLOOKUP($D236,'Modelling New'!$D:$D,'Modelling New'!AF:AF),"")</f>
        <v>0.98</v>
      </c>
      <c r="AN236" s="134"/>
      <c r="AO236" s="137"/>
      <c r="AP236" s="137"/>
      <c r="AQ236" s="137"/>
      <c r="AR236" s="130">
        <f>'Basic Data'!$B$98/1000</f>
        <v>8.0208999999999993</v>
      </c>
    </row>
    <row r="237" spans="1:44" x14ac:dyDescent="0.3">
      <c r="A237" s="129">
        <f t="shared" si="15"/>
        <v>45980</v>
      </c>
      <c r="B237" s="130">
        <f>YEAR(Table13[[#This Row],[Date]])+IF(MONTH(Table13[[#This Row],[Date]])&gt;=4,1,0)</f>
        <v>2026</v>
      </c>
      <c r="C237" s="7">
        <f>YEAR(Table13[[#This Row],[Date]])</f>
        <v>2025</v>
      </c>
      <c r="D237" s="131">
        <f>Table13[[#This Row],[Date]]-DAY(Table13[[#This Row],[Date]])+1</f>
        <v>45962</v>
      </c>
      <c r="E237" s="7">
        <f t="shared" si="12"/>
        <v>30</v>
      </c>
      <c r="F237" s="132" t="str">
        <f>IFERROR(_xlfn.XLOOKUP($A237,'Raw Data'!$G:$G,'Raw Data'!$AM:$AM),"")</f>
        <v/>
      </c>
      <c r="G237" s="133" t="str">
        <f>IFERROR(_xlfn.XLOOKUP($A237,'Raw Data'!$G:$G,'Raw Data'!$AB:$AB),"")</f>
        <v/>
      </c>
      <c r="H237" s="133"/>
      <c r="I237" s="133" t="str">
        <f>IFERROR(_xlfn.XLOOKUP($A237,'Raw Data'!$G:$G,'Raw Data'!$AC:$AC),"")</f>
        <v/>
      </c>
      <c r="J237" s="133"/>
      <c r="K237" s="133" t="str">
        <f>IFERROR(_xlfn.XLOOKUP($A237,'Raw Data'!$G:$G,'Raw Data'!AD:AD),"")</f>
        <v/>
      </c>
      <c r="L237" s="133" t="str">
        <f>IFERROR(_xlfn.XLOOKUP($A237,'Raw Data'!$G:$G,'Raw Data'!AE:AE),"")</f>
        <v/>
      </c>
      <c r="M237" s="133" t="str">
        <f>IFERROR(_xlfn.XLOOKUP($A237,'Raw Data'!$G:$G,'Raw Data'!AF:AF),"")</f>
        <v/>
      </c>
      <c r="N237" s="133" t="str">
        <f>IFERROR(_xlfn.XLOOKUP($A237,'Raw Data'!$G:$G,'Raw Data'!AG:AG),"")</f>
        <v/>
      </c>
      <c r="O237" s="134" t="str">
        <f>IFERROR(1-SUMIF('Plant BD'!$H:$H,$A237,'Plant BD'!$AE:$AE)/($AA237+SUMIF('Plant BD'!$H:$H,$A237,'Plant BD'!$AE:$AE)),"")</f>
        <v/>
      </c>
      <c r="P237" s="134"/>
      <c r="Q237" s="135"/>
      <c r="R237" s="134" t="str">
        <f>IFERROR(1-SUMIF('Grid BD'!$H:$H,$A237,'Grid BD'!$AD:$AD)/($AA237+SUMIF('Grid BD'!$H:$H,$A237,'Grid BD'!$AD:$AD)),"")</f>
        <v/>
      </c>
      <c r="T237" s="135"/>
      <c r="U237" s="136" t="str">
        <f t="shared" si="13"/>
        <v/>
      </c>
      <c r="V237" s="136"/>
      <c r="W237" s="137" t="str">
        <f t="shared" si="14"/>
        <v/>
      </c>
      <c r="X237" s="130" t="str">
        <f>IFERROR(_xlfn.XLOOKUP($A237,'Raw Data'!$G:$G,'Raw Data'!AI:AI),"")</f>
        <v/>
      </c>
      <c r="Y237" s="130" t="str">
        <f>IFERROR(_xlfn.XLOOKUP($A237,'Raw Data'!$G:$G,'Raw Data'!AJ:AJ),"")</f>
        <v/>
      </c>
      <c r="Z237" s="130" t="str">
        <f>IFERROR(_xlfn.XLOOKUP($A237,'Raw Data'!$G:$G,'Raw Data'!AK:AK),"")</f>
        <v/>
      </c>
      <c r="AA237" s="130" t="str">
        <f>IFERROR(_xlfn.XLOOKUP($A237,'Raw Data'!$G:$G,'Raw Data'!AL:AL),"")</f>
        <v/>
      </c>
      <c r="AB237" s="130" t="str">
        <f>IFERROR(_xlfn.XLOOKUP($A237,'Raw Data'!$G:$G,'Raw Data'!H:H),"")</f>
        <v/>
      </c>
      <c r="AC237" s="76">
        <f>IFERROR(_xlfn.XLOOKUP($D237,'Modelling New'!$D:$D,'Modelling New'!P:P),"")</f>
        <v>5.4333333333333336</v>
      </c>
      <c r="AD237" s="130">
        <f>IFERROR(_xlfn.XLOOKUP($D237,'Modelling New'!$D:$D,'Modelling New'!$T:$T)*1000,"")</f>
        <v>30935.368854830132</v>
      </c>
      <c r="AE237" s="138">
        <f>IFERROR(_xlfn.XLOOKUP($D237,'Modelling New'!$D:$D,'Modelling New'!O:O),"")</f>
        <v>0.70984879123298372</v>
      </c>
      <c r="AF237" s="137">
        <f>IFERROR(_xlfn.XLOOKUP($D237,'Modelling New'!$D:$D,'Modelling New'!W:W),"")</f>
        <v>0.160701879126356</v>
      </c>
      <c r="AG237" s="137">
        <f>IFERROR(_xlfn.XLOOKUP($D237,'Modelling New'!$D:$D,'Modelling New'!AE:AE),"")</f>
        <v>0.98040000000000005</v>
      </c>
      <c r="AH237" s="156">
        <f>IFERROR(_xlfn.XLOOKUP($D237,'Modelling New'!$D:$D,'Modelling New'!AF:AF),"")</f>
        <v>0.98</v>
      </c>
      <c r="AN237" s="134"/>
      <c r="AO237" s="137"/>
      <c r="AP237" s="137"/>
      <c r="AQ237" s="137"/>
      <c r="AR237" s="130">
        <f>'Basic Data'!$B$98/1000</f>
        <v>8.0208999999999993</v>
      </c>
    </row>
    <row r="238" spans="1:44" x14ac:dyDescent="0.3">
      <c r="A238" s="129">
        <f t="shared" si="15"/>
        <v>45981</v>
      </c>
      <c r="B238" s="130">
        <f>YEAR(Table13[[#This Row],[Date]])+IF(MONTH(Table13[[#This Row],[Date]])&gt;=4,1,0)</f>
        <v>2026</v>
      </c>
      <c r="C238" s="7">
        <f>YEAR(Table13[[#This Row],[Date]])</f>
        <v>2025</v>
      </c>
      <c r="D238" s="131">
        <f>Table13[[#This Row],[Date]]-DAY(Table13[[#This Row],[Date]])+1</f>
        <v>45962</v>
      </c>
      <c r="E238" s="7">
        <f t="shared" si="12"/>
        <v>30</v>
      </c>
      <c r="F238" s="132" t="str">
        <f>IFERROR(_xlfn.XLOOKUP($A238,'Raw Data'!$G:$G,'Raw Data'!$AM:$AM),"")</f>
        <v/>
      </c>
      <c r="G238" s="133" t="str">
        <f>IFERROR(_xlfn.XLOOKUP($A238,'Raw Data'!$G:$G,'Raw Data'!$AB:$AB),"")</f>
        <v/>
      </c>
      <c r="H238" s="133"/>
      <c r="I238" s="133" t="str">
        <f>IFERROR(_xlfn.XLOOKUP($A238,'Raw Data'!$G:$G,'Raw Data'!$AC:$AC),"")</f>
        <v/>
      </c>
      <c r="J238" s="133"/>
      <c r="K238" s="133" t="str">
        <f>IFERROR(_xlfn.XLOOKUP($A238,'Raw Data'!$G:$G,'Raw Data'!AD:AD),"")</f>
        <v/>
      </c>
      <c r="L238" s="133" t="str">
        <f>IFERROR(_xlfn.XLOOKUP($A238,'Raw Data'!$G:$G,'Raw Data'!AE:AE),"")</f>
        <v/>
      </c>
      <c r="M238" s="133" t="str">
        <f>IFERROR(_xlfn.XLOOKUP($A238,'Raw Data'!$G:$G,'Raw Data'!AF:AF),"")</f>
        <v/>
      </c>
      <c r="N238" s="133" t="str">
        <f>IFERROR(_xlfn.XLOOKUP($A238,'Raw Data'!$G:$G,'Raw Data'!AG:AG),"")</f>
        <v/>
      </c>
      <c r="O238" s="134" t="str">
        <f>IFERROR(1-SUMIF('Plant BD'!$H:$H,$A238,'Plant BD'!$AE:$AE)/($AA238+SUMIF('Plant BD'!$H:$H,$A238,'Plant BD'!$AE:$AE)),"")</f>
        <v/>
      </c>
      <c r="P238" s="134"/>
      <c r="Q238" s="135"/>
      <c r="R238" s="134" t="str">
        <f>IFERROR(1-SUMIF('Grid BD'!$H:$H,$A238,'Grid BD'!$AD:$AD)/($AA238+SUMIF('Grid BD'!$H:$H,$A238,'Grid BD'!$AD:$AD)),"")</f>
        <v/>
      </c>
      <c r="T238" s="135"/>
      <c r="U238" s="136" t="str">
        <f t="shared" si="13"/>
        <v/>
      </c>
      <c r="V238" s="136"/>
      <c r="W238" s="137" t="str">
        <f t="shared" si="14"/>
        <v/>
      </c>
      <c r="X238" s="130" t="str">
        <f>IFERROR(_xlfn.XLOOKUP($A238,'Raw Data'!$G:$G,'Raw Data'!AI:AI),"")</f>
        <v/>
      </c>
      <c r="Y238" s="130" t="str">
        <f>IFERROR(_xlfn.XLOOKUP($A238,'Raw Data'!$G:$G,'Raw Data'!AJ:AJ),"")</f>
        <v/>
      </c>
      <c r="Z238" s="130" t="str">
        <f>IFERROR(_xlfn.XLOOKUP($A238,'Raw Data'!$G:$G,'Raw Data'!AK:AK),"")</f>
        <v/>
      </c>
      <c r="AA238" s="130" t="str">
        <f>IFERROR(_xlfn.XLOOKUP($A238,'Raw Data'!$G:$G,'Raw Data'!AL:AL),"")</f>
        <v/>
      </c>
      <c r="AB238" s="130" t="str">
        <f>IFERROR(_xlfn.XLOOKUP($A238,'Raw Data'!$G:$G,'Raw Data'!H:H),"")</f>
        <v/>
      </c>
      <c r="AC238" s="76">
        <f>IFERROR(_xlfn.XLOOKUP($D238,'Modelling New'!$D:$D,'Modelling New'!P:P),"")</f>
        <v>5.4333333333333336</v>
      </c>
      <c r="AD238" s="130">
        <f>IFERROR(_xlfn.XLOOKUP($D238,'Modelling New'!$D:$D,'Modelling New'!$T:$T)*1000,"")</f>
        <v>30935.368854830132</v>
      </c>
      <c r="AE238" s="138">
        <f>IFERROR(_xlfn.XLOOKUP($D238,'Modelling New'!$D:$D,'Modelling New'!O:O),"")</f>
        <v>0.70984879123298372</v>
      </c>
      <c r="AF238" s="137">
        <f>IFERROR(_xlfn.XLOOKUP($D238,'Modelling New'!$D:$D,'Modelling New'!W:W),"")</f>
        <v>0.160701879126356</v>
      </c>
      <c r="AG238" s="137">
        <f>IFERROR(_xlfn.XLOOKUP($D238,'Modelling New'!$D:$D,'Modelling New'!AE:AE),"")</f>
        <v>0.98040000000000005</v>
      </c>
      <c r="AH238" s="156">
        <f>IFERROR(_xlfn.XLOOKUP($D238,'Modelling New'!$D:$D,'Modelling New'!AF:AF),"")</f>
        <v>0.98</v>
      </c>
      <c r="AN238" s="134"/>
      <c r="AO238" s="137"/>
      <c r="AP238" s="137"/>
      <c r="AQ238" s="137"/>
      <c r="AR238" s="130">
        <f>'Basic Data'!$B$98/1000</f>
        <v>8.0208999999999993</v>
      </c>
    </row>
    <row r="239" spans="1:44" x14ac:dyDescent="0.3">
      <c r="A239" s="129">
        <f t="shared" si="15"/>
        <v>45982</v>
      </c>
      <c r="B239" s="130">
        <f>YEAR(Table13[[#This Row],[Date]])+IF(MONTH(Table13[[#This Row],[Date]])&gt;=4,1,0)</f>
        <v>2026</v>
      </c>
      <c r="C239" s="7">
        <f>YEAR(Table13[[#This Row],[Date]])</f>
        <v>2025</v>
      </c>
      <c r="D239" s="131">
        <f>Table13[[#This Row],[Date]]-DAY(Table13[[#This Row],[Date]])+1</f>
        <v>45962</v>
      </c>
      <c r="E239" s="7">
        <f t="shared" si="12"/>
        <v>30</v>
      </c>
      <c r="F239" s="132" t="str">
        <f>IFERROR(_xlfn.XLOOKUP($A239,'Raw Data'!$G:$G,'Raw Data'!$AM:$AM),"")</f>
        <v/>
      </c>
      <c r="G239" s="133" t="str">
        <f>IFERROR(_xlfn.XLOOKUP($A239,'Raw Data'!$G:$G,'Raw Data'!$AB:$AB),"")</f>
        <v/>
      </c>
      <c r="H239" s="133"/>
      <c r="I239" s="133" t="str">
        <f>IFERROR(_xlfn.XLOOKUP($A239,'Raw Data'!$G:$G,'Raw Data'!$AC:$AC),"")</f>
        <v/>
      </c>
      <c r="J239" s="133"/>
      <c r="K239" s="133" t="str">
        <f>IFERROR(_xlfn.XLOOKUP($A239,'Raw Data'!$G:$G,'Raw Data'!AD:AD),"")</f>
        <v/>
      </c>
      <c r="L239" s="133" t="str">
        <f>IFERROR(_xlfn.XLOOKUP($A239,'Raw Data'!$G:$G,'Raw Data'!AE:AE),"")</f>
        <v/>
      </c>
      <c r="M239" s="133" t="str">
        <f>IFERROR(_xlfn.XLOOKUP($A239,'Raw Data'!$G:$G,'Raw Data'!AF:AF),"")</f>
        <v/>
      </c>
      <c r="N239" s="133" t="str">
        <f>IFERROR(_xlfn.XLOOKUP($A239,'Raw Data'!$G:$G,'Raw Data'!AG:AG),"")</f>
        <v/>
      </c>
      <c r="O239" s="134" t="str">
        <f>IFERROR(1-SUMIF('Plant BD'!$H:$H,$A239,'Plant BD'!$AE:$AE)/($AA239+SUMIF('Plant BD'!$H:$H,$A239,'Plant BD'!$AE:$AE)),"")</f>
        <v/>
      </c>
      <c r="P239" s="134"/>
      <c r="Q239" s="135"/>
      <c r="R239" s="134" t="str">
        <f>IFERROR(1-SUMIF('Grid BD'!$H:$H,$A239,'Grid BD'!$AD:$AD)/($AA239+SUMIF('Grid BD'!$H:$H,$A239,'Grid BD'!$AD:$AD)),"")</f>
        <v/>
      </c>
      <c r="T239" s="135"/>
      <c r="U239" s="136" t="str">
        <f t="shared" si="13"/>
        <v/>
      </c>
      <c r="V239" s="136"/>
      <c r="W239" s="137" t="str">
        <f t="shared" si="14"/>
        <v/>
      </c>
      <c r="X239" s="130" t="str">
        <f>IFERROR(_xlfn.XLOOKUP($A239,'Raw Data'!$G:$G,'Raw Data'!AI:AI),"")</f>
        <v/>
      </c>
      <c r="Y239" s="130" t="str">
        <f>IFERROR(_xlfn.XLOOKUP($A239,'Raw Data'!$G:$G,'Raw Data'!AJ:AJ),"")</f>
        <v/>
      </c>
      <c r="Z239" s="130" t="str">
        <f>IFERROR(_xlfn.XLOOKUP($A239,'Raw Data'!$G:$G,'Raw Data'!AK:AK),"")</f>
        <v/>
      </c>
      <c r="AA239" s="130" t="str">
        <f>IFERROR(_xlfn.XLOOKUP($A239,'Raw Data'!$G:$G,'Raw Data'!AL:AL),"")</f>
        <v/>
      </c>
      <c r="AB239" s="130" t="str">
        <f>IFERROR(_xlfn.XLOOKUP($A239,'Raw Data'!$G:$G,'Raw Data'!H:H),"")</f>
        <v/>
      </c>
      <c r="AC239" s="76">
        <f>IFERROR(_xlfn.XLOOKUP($D239,'Modelling New'!$D:$D,'Modelling New'!P:P),"")</f>
        <v>5.4333333333333336</v>
      </c>
      <c r="AD239" s="130">
        <f>IFERROR(_xlfn.XLOOKUP($D239,'Modelling New'!$D:$D,'Modelling New'!$T:$T)*1000,"")</f>
        <v>30935.368854830132</v>
      </c>
      <c r="AE239" s="138">
        <f>IFERROR(_xlfn.XLOOKUP($D239,'Modelling New'!$D:$D,'Modelling New'!O:O),"")</f>
        <v>0.70984879123298372</v>
      </c>
      <c r="AF239" s="137">
        <f>IFERROR(_xlfn.XLOOKUP($D239,'Modelling New'!$D:$D,'Modelling New'!W:W),"")</f>
        <v>0.160701879126356</v>
      </c>
      <c r="AG239" s="137">
        <f>IFERROR(_xlfn.XLOOKUP($D239,'Modelling New'!$D:$D,'Modelling New'!AE:AE),"")</f>
        <v>0.98040000000000005</v>
      </c>
      <c r="AH239" s="156">
        <f>IFERROR(_xlfn.XLOOKUP($D239,'Modelling New'!$D:$D,'Modelling New'!AF:AF),"")</f>
        <v>0.98</v>
      </c>
      <c r="AN239" s="134"/>
      <c r="AO239" s="137"/>
      <c r="AP239" s="137"/>
      <c r="AQ239" s="137"/>
      <c r="AR239" s="130">
        <f>'Basic Data'!$B$98/1000</f>
        <v>8.0208999999999993</v>
      </c>
    </row>
    <row r="240" spans="1:44" x14ac:dyDescent="0.3">
      <c r="A240" s="129">
        <f t="shared" si="15"/>
        <v>45983</v>
      </c>
      <c r="B240" s="130">
        <f>YEAR(Table13[[#This Row],[Date]])+IF(MONTH(Table13[[#This Row],[Date]])&gt;=4,1,0)</f>
        <v>2026</v>
      </c>
      <c r="C240" s="7">
        <f>YEAR(Table13[[#This Row],[Date]])</f>
        <v>2025</v>
      </c>
      <c r="D240" s="131">
        <f>Table13[[#This Row],[Date]]-DAY(Table13[[#This Row],[Date]])+1</f>
        <v>45962</v>
      </c>
      <c r="E240" s="7">
        <f t="shared" si="12"/>
        <v>30</v>
      </c>
      <c r="F240" s="132" t="str">
        <f>IFERROR(_xlfn.XLOOKUP($A240,'Raw Data'!$G:$G,'Raw Data'!$AM:$AM),"")</f>
        <v/>
      </c>
      <c r="G240" s="133" t="str">
        <f>IFERROR(_xlfn.XLOOKUP($A240,'Raw Data'!$G:$G,'Raw Data'!$AB:$AB),"")</f>
        <v/>
      </c>
      <c r="H240" s="133"/>
      <c r="I240" s="133" t="str">
        <f>IFERROR(_xlfn.XLOOKUP($A240,'Raw Data'!$G:$G,'Raw Data'!$AC:$AC),"")</f>
        <v/>
      </c>
      <c r="J240" s="133"/>
      <c r="K240" s="133" t="str">
        <f>IFERROR(_xlfn.XLOOKUP($A240,'Raw Data'!$G:$G,'Raw Data'!AD:AD),"")</f>
        <v/>
      </c>
      <c r="L240" s="133" t="str">
        <f>IFERROR(_xlfn.XLOOKUP($A240,'Raw Data'!$G:$G,'Raw Data'!AE:AE),"")</f>
        <v/>
      </c>
      <c r="M240" s="133" t="str">
        <f>IFERROR(_xlfn.XLOOKUP($A240,'Raw Data'!$G:$G,'Raw Data'!AF:AF),"")</f>
        <v/>
      </c>
      <c r="N240" s="133" t="str">
        <f>IFERROR(_xlfn.XLOOKUP($A240,'Raw Data'!$G:$G,'Raw Data'!AG:AG),"")</f>
        <v/>
      </c>
      <c r="O240" s="134" t="str">
        <f>IFERROR(1-SUMIF('Plant BD'!$H:$H,$A240,'Plant BD'!$AE:$AE)/($AA240+SUMIF('Plant BD'!$H:$H,$A240,'Plant BD'!$AE:$AE)),"")</f>
        <v/>
      </c>
      <c r="P240" s="134"/>
      <c r="Q240" s="135"/>
      <c r="R240" s="134" t="str">
        <f>IFERROR(1-SUMIF('Grid BD'!$H:$H,$A240,'Grid BD'!$AD:$AD)/($AA240+SUMIF('Grid BD'!$H:$H,$A240,'Grid BD'!$AD:$AD)),"")</f>
        <v/>
      </c>
      <c r="T240" s="135"/>
      <c r="U240" s="136" t="str">
        <f t="shared" si="13"/>
        <v/>
      </c>
      <c r="V240" s="136"/>
      <c r="W240" s="137" t="str">
        <f t="shared" si="14"/>
        <v/>
      </c>
      <c r="X240" s="130" t="str">
        <f>IFERROR(_xlfn.XLOOKUP($A240,'Raw Data'!$G:$G,'Raw Data'!AI:AI),"")</f>
        <v/>
      </c>
      <c r="Y240" s="130" t="str">
        <f>IFERROR(_xlfn.XLOOKUP($A240,'Raw Data'!$G:$G,'Raw Data'!AJ:AJ),"")</f>
        <v/>
      </c>
      <c r="Z240" s="130" t="str">
        <f>IFERROR(_xlfn.XLOOKUP($A240,'Raw Data'!$G:$G,'Raw Data'!AK:AK),"")</f>
        <v/>
      </c>
      <c r="AA240" s="130" t="str">
        <f>IFERROR(_xlfn.XLOOKUP($A240,'Raw Data'!$G:$G,'Raw Data'!AL:AL),"")</f>
        <v/>
      </c>
      <c r="AB240" s="130" t="str">
        <f>IFERROR(_xlfn.XLOOKUP($A240,'Raw Data'!$G:$G,'Raw Data'!H:H),"")</f>
        <v/>
      </c>
      <c r="AC240" s="76">
        <f>IFERROR(_xlfn.XLOOKUP($D240,'Modelling New'!$D:$D,'Modelling New'!P:P),"")</f>
        <v>5.4333333333333336</v>
      </c>
      <c r="AD240" s="130">
        <f>IFERROR(_xlfn.XLOOKUP($D240,'Modelling New'!$D:$D,'Modelling New'!$T:$T)*1000,"")</f>
        <v>30935.368854830132</v>
      </c>
      <c r="AE240" s="138">
        <f>IFERROR(_xlfn.XLOOKUP($D240,'Modelling New'!$D:$D,'Modelling New'!O:O),"")</f>
        <v>0.70984879123298372</v>
      </c>
      <c r="AF240" s="137">
        <f>IFERROR(_xlfn.XLOOKUP($D240,'Modelling New'!$D:$D,'Modelling New'!W:W),"")</f>
        <v>0.160701879126356</v>
      </c>
      <c r="AG240" s="137">
        <f>IFERROR(_xlfn.XLOOKUP($D240,'Modelling New'!$D:$D,'Modelling New'!AE:AE),"")</f>
        <v>0.98040000000000005</v>
      </c>
      <c r="AH240" s="156">
        <f>IFERROR(_xlfn.XLOOKUP($D240,'Modelling New'!$D:$D,'Modelling New'!AF:AF),"")</f>
        <v>0.98</v>
      </c>
      <c r="AN240" s="134"/>
      <c r="AO240" s="137"/>
      <c r="AP240" s="137"/>
      <c r="AQ240" s="137"/>
      <c r="AR240" s="130">
        <f>'Basic Data'!$B$98/1000</f>
        <v>8.0208999999999993</v>
      </c>
    </row>
    <row r="241" spans="1:44" x14ac:dyDescent="0.3">
      <c r="A241" s="129">
        <f t="shared" si="15"/>
        <v>45984</v>
      </c>
      <c r="B241" s="130">
        <f>YEAR(Table13[[#This Row],[Date]])+IF(MONTH(Table13[[#This Row],[Date]])&gt;=4,1,0)</f>
        <v>2026</v>
      </c>
      <c r="C241" s="7">
        <f>YEAR(Table13[[#This Row],[Date]])</f>
        <v>2025</v>
      </c>
      <c r="D241" s="131">
        <f>Table13[[#This Row],[Date]]-DAY(Table13[[#This Row],[Date]])+1</f>
        <v>45962</v>
      </c>
      <c r="E241" s="7">
        <f t="shared" si="12"/>
        <v>30</v>
      </c>
      <c r="F241" s="132" t="str">
        <f>IFERROR(_xlfn.XLOOKUP($A241,'Raw Data'!$G:$G,'Raw Data'!$AM:$AM),"")</f>
        <v/>
      </c>
      <c r="G241" s="133" t="str">
        <f>IFERROR(_xlfn.XLOOKUP($A241,'Raw Data'!$G:$G,'Raw Data'!$AB:$AB),"")</f>
        <v/>
      </c>
      <c r="H241" s="133"/>
      <c r="I241" s="133" t="str">
        <f>IFERROR(_xlfn.XLOOKUP($A241,'Raw Data'!$G:$G,'Raw Data'!$AC:$AC),"")</f>
        <v/>
      </c>
      <c r="J241" s="133"/>
      <c r="K241" s="133" t="str">
        <f>IFERROR(_xlfn.XLOOKUP($A241,'Raw Data'!$G:$G,'Raw Data'!AD:AD),"")</f>
        <v/>
      </c>
      <c r="L241" s="133" t="str">
        <f>IFERROR(_xlfn.XLOOKUP($A241,'Raw Data'!$G:$G,'Raw Data'!AE:AE),"")</f>
        <v/>
      </c>
      <c r="M241" s="133" t="str">
        <f>IFERROR(_xlfn.XLOOKUP($A241,'Raw Data'!$G:$G,'Raw Data'!AF:AF),"")</f>
        <v/>
      </c>
      <c r="N241" s="133" t="str">
        <f>IFERROR(_xlfn.XLOOKUP($A241,'Raw Data'!$G:$G,'Raw Data'!AG:AG),"")</f>
        <v/>
      </c>
      <c r="O241" s="134" t="str">
        <f>IFERROR(1-SUMIF('Plant BD'!$H:$H,$A241,'Plant BD'!$AE:$AE)/($AA241+SUMIF('Plant BD'!$H:$H,$A241,'Plant BD'!$AE:$AE)),"")</f>
        <v/>
      </c>
      <c r="P241" s="134"/>
      <c r="Q241" s="135"/>
      <c r="R241" s="134" t="str">
        <f>IFERROR(1-SUMIF('Grid BD'!$H:$H,$A241,'Grid BD'!$AD:$AD)/($AA241+SUMIF('Grid BD'!$H:$H,$A241,'Grid BD'!$AD:$AD)),"")</f>
        <v/>
      </c>
      <c r="T241" s="135"/>
      <c r="U241" s="136" t="str">
        <f t="shared" si="13"/>
        <v/>
      </c>
      <c r="V241" s="136"/>
      <c r="W241" s="137" t="str">
        <f t="shared" si="14"/>
        <v/>
      </c>
      <c r="X241" s="130" t="str">
        <f>IFERROR(_xlfn.XLOOKUP($A241,'Raw Data'!$G:$G,'Raw Data'!AI:AI),"")</f>
        <v/>
      </c>
      <c r="Y241" s="130" t="str">
        <f>IFERROR(_xlfn.XLOOKUP($A241,'Raw Data'!$G:$G,'Raw Data'!AJ:AJ),"")</f>
        <v/>
      </c>
      <c r="Z241" s="130" t="str">
        <f>IFERROR(_xlfn.XLOOKUP($A241,'Raw Data'!$G:$G,'Raw Data'!AK:AK),"")</f>
        <v/>
      </c>
      <c r="AA241" s="130" t="str">
        <f>IFERROR(_xlfn.XLOOKUP($A241,'Raw Data'!$G:$G,'Raw Data'!AL:AL),"")</f>
        <v/>
      </c>
      <c r="AB241" s="130" t="str">
        <f>IFERROR(_xlfn.XLOOKUP($A241,'Raw Data'!$G:$G,'Raw Data'!H:H),"")</f>
        <v/>
      </c>
      <c r="AC241" s="76">
        <f>IFERROR(_xlfn.XLOOKUP($D241,'Modelling New'!$D:$D,'Modelling New'!P:P),"")</f>
        <v>5.4333333333333336</v>
      </c>
      <c r="AD241" s="130">
        <f>IFERROR(_xlfn.XLOOKUP($D241,'Modelling New'!$D:$D,'Modelling New'!$T:$T)*1000,"")</f>
        <v>30935.368854830132</v>
      </c>
      <c r="AE241" s="138">
        <f>IFERROR(_xlfn.XLOOKUP($D241,'Modelling New'!$D:$D,'Modelling New'!O:O),"")</f>
        <v>0.70984879123298372</v>
      </c>
      <c r="AF241" s="137">
        <f>IFERROR(_xlfn.XLOOKUP($D241,'Modelling New'!$D:$D,'Modelling New'!W:W),"")</f>
        <v>0.160701879126356</v>
      </c>
      <c r="AG241" s="137">
        <f>IFERROR(_xlfn.XLOOKUP($D241,'Modelling New'!$D:$D,'Modelling New'!AE:AE),"")</f>
        <v>0.98040000000000005</v>
      </c>
      <c r="AH241" s="156">
        <f>IFERROR(_xlfn.XLOOKUP($D241,'Modelling New'!$D:$D,'Modelling New'!AF:AF),"")</f>
        <v>0.98</v>
      </c>
      <c r="AN241" s="134"/>
      <c r="AO241" s="137"/>
      <c r="AP241" s="137"/>
      <c r="AQ241" s="137"/>
      <c r="AR241" s="130">
        <f>'Basic Data'!$B$98/1000</f>
        <v>8.0208999999999993</v>
      </c>
    </row>
    <row r="242" spans="1:44" x14ac:dyDescent="0.3">
      <c r="A242" s="129">
        <f t="shared" si="15"/>
        <v>45985</v>
      </c>
      <c r="B242" s="130">
        <f>YEAR(Table13[[#This Row],[Date]])+IF(MONTH(Table13[[#This Row],[Date]])&gt;=4,1,0)</f>
        <v>2026</v>
      </c>
      <c r="C242" s="7">
        <f>YEAR(Table13[[#This Row],[Date]])</f>
        <v>2025</v>
      </c>
      <c r="D242" s="131">
        <f>Table13[[#This Row],[Date]]-DAY(Table13[[#This Row],[Date]])+1</f>
        <v>45962</v>
      </c>
      <c r="E242" s="7">
        <f t="shared" si="12"/>
        <v>30</v>
      </c>
      <c r="F242" s="132" t="str">
        <f>IFERROR(_xlfn.XLOOKUP($A242,'Raw Data'!$G:$G,'Raw Data'!$AM:$AM),"")</f>
        <v/>
      </c>
      <c r="G242" s="133" t="str">
        <f>IFERROR(_xlfn.XLOOKUP($A242,'Raw Data'!$G:$G,'Raw Data'!$AB:$AB),"")</f>
        <v/>
      </c>
      <c r="H242" s="133"/>
      <c r="I242" s="133" t="str">
        <f>IFERROR(_xlfn.XLOOKUP($A242,'Raw Data'!$G:$G,'Raw Data'!$AC:$AC),"")</f>
        <v/>
      </c>
      <c r="J242" s="133"/>
      <c r="K242" s="133" t="str">
        <f>IFERROR(_xlfn.XLOOKUP($A242,'Raw Data'!$G:$G,'Raw Data'!AD:AD),"")</f>
        <v/>
      </c>
      <c r="L242" s="133" t="str">
        <f>IFERROR(_xlfn.XLOOKUP($A242,'Raw Data'!$G:$G,'Raw Data'!AE:AE),"")</f>
        <v/>
      </c>
      <c r="M242" s="133" t="str">
        <f>IFERROR(_xlfn.XLOOKUP($A242,'Raw Data'!$G:$G,'Raw Data'!AF:AF),"")</f>
        <v/>
      </c>
      <c r="N242" s="133" t="str">
        <f>IFERROR(_xlfn.XLOOKUP($A242,'Raw Data'!$G:$G,'Raw Data'!AG:AG),"")</f>
        <v/>
      </c>
      <c r="O242" s="134" t="str">
        <f>IFERROR(1-SUMIF('Plant BD'!$H:$H,$A242,'Plant BD'!$AE:$AE)/($AA242+SUMIF('Plant BD'!$H:$H,$A242,'Plant BD'!$AE:$AE)),"")</f>
        <v/>
      </c>
      <c r="P242" s="134"/>
      <c r="Q242" s="135"/>
      <c r="R242" s="134" t="str">
        <f>IFERROR(1-SUMIF('Grid BD'!$H:$H,$A242,'Grid BD'!$AD:$AD)/($AA242+SUMIF('Grid BD'!$H:$H,$A242,'Grid BD'!$AD:$AD)),"")</f>
        <v/>
      </c>
      <c r="T242" s="135"/>
      <c r="U242" s="136" t="str">
        <f t="shared" si="13"/>
        <v/>
      </c>
      <c r="V242" s="136"/>
      <c r="W242" s="137" t="str">
        <f t="shared" si="14"/>
        <v/>
      </c>
      <c r="X242" s="130" t="str">
        <f>IFERROR(_xlfn.XLOOKUP($A242,'Raw Data'!$G:$G,'Raw Data'!AI:AI),"")</f>
        <v/>
      </c>
      <c r="Y242" s="130" t="str">
        <f>IFERROR(_xlfn.XLOOKUP($A242,'Raw Data'!$G:$G,'Raw Data'!AJ:AJ),"")</f>
        <v/>
      </c>
      <c r="Z242" s="130" t="str">
        <f>IFERROR(_xlfn.XLOOKUP($A242,'Raw Data'!$G:$G,'Raw Data'!AK:AK),"")</f>
        <v/>
      </c>
      <c r="AA242" s="130" t="str">
        <f>IFERROR(_xlfn.XLOOKUP($A242,'Raw Data'!$G:$G,'Raw Data'!AL:AL),"")</f>
        <v/>
      </c>
      <c r="AB242" s="130" t="str">
        <f>IFERROR(_xlfn.XLOOKUP($A242,'Raw Data'!$G:$G,'Raw Data'!H:H),"")</f>
        <v/>
      </c>
      <c r="AC242" s="76">
        <f>IFERROR(_xlfn.XLOOKUP($D242,'Modelling New'!$D:$D,'Modelling New'!P:P),"")</f>
        <v>5.4333333333333336</v>
      </c>
      <c r="AD242" s="130">
        <f>IFERROR(_xlfn.XLOOKUP($D242,'Modelling New'!$D:$D,'Modelling New'!$T:$T)*1000,"")</f>
        <v>30935.368854830132</v>
      </c>
      <c r="AE242" s="138">
        <f>IFERROR(_xlfn.XLOOKUP($D242,'Modelling New'!$D:$D,'Modelling New'!O:O),"")</f>
        <v>0.70984879123298372</v>
      </c>
      <c r="AF242" s="137">
        <f>IFERROR(_xlfn.XLOOKUP($D242,'Modelling New'!$D:$D,'Modelling New'!W:W),"")</f>
        <v>0.160701879126356</v>
      </c>
      <c r="AG242" s="137">
        <f>IFERROR(_xlfn.XLOOKUP($D242,'Modelling New'!$D:$D,'Modelling New'!AE:AE),"")</f>
        <v>0.98040000000000005</v>
      </c>
      <c r="AH242" s="156">
        <f>IFERROR(_xlfn.XLOOKUP($D242,'Modelling New'!$D:$D,'Modelling New'!AF:AF),"")</f>
        <v>0.98</v>
      </c>
      <c r="AN242" s="134"/>
      <c r="AO242" s="137"/>
      <c r="AP242" s="137"/>
      <c r="AQ242" s="137"/>
      <c r="AR242" s="130">
        <f>'Basic Data'!$B$98/1000</f>
        <v>8.0208999999999993</v>
      </c>
    </row>
    <row r="243" spans="1:44" x14ac:dyDescent="0.3">
      <c r="A243" s="129">
        <f t="shared" si="15"/>
        <v>45986</v>
      </c>
      <c r="B243" s="130">
        <f>YEAR(Table13[[#This Row],[Date]])+IF(MONTH(Table13[[#This Row],[Date]])&gt;=4,1,0)</f>
        <v>2026</v>
      </c>
      <c r="C243" s="7">
        <f>YEAR(Table13[[#This Row],[Date]])</f>
        <v>2025</v>
      </c>
      <c r="D243" s="131">
        <f>Table13[[#This Row],[Date]]-DAY(Table13[[#This Row],[Date]])+1</f>
        <v>45962</v>
      </c>
      <c r="E243" s="7">
        <f t="shared" si="12"/>
        <v>30</v>
      </c>
      <c r="F243" s="132" t="str">
        <f>IFERROR(_xlfn.XLOOKUP($A243,'Raw Data'!$G:$G,'Raw Data'!$AM:$AM),"")</f>
        <v/>
      </c>
      <c r="G243" s="133" t="str">
        <f>IFERROR(_xlfn.XLOOKUP($A243,'Raw Data'!$G:$G,'Raw Data'!$AB:$AB),"")</f>
        <v/>
      </c>
      <c r="H243" s="133"/>
      <c r="I243" s="133" t="str">
        <f>IFERROR(_xlfn.XLOOKUP($A243,'Raw Data'!$G:$G,'Raw Data'!$AC:$AC),"")</f>
        <v/>
      </c>
      <c r="J243" s="133"/>
      <c r="K243" s="133" t="str">
        <f>IFERROR(_xlfn.XLOOKUP($A243,'Raw Data'!$G:$G,'Raw Data'!AD:AD),"")</f>
        <v/>
      </c>
      <c r="L243" s="133" t="str">
        <f>IFERROR(_xlfn.XLOOKUP($A243,'Raw Data'!$G:$G,'Raw Data'!AE:AE),"")</f>
        <v/>
      </c>
      <c r="M243" s="133" t="str">
        <f>IFERROR(_xlfn.XLOOKUP($A243,'Raw Data'!$G:$G,'Raw Data'!AF:AF),"")</f>
        <v/>
      </c>
      <c r="N243" s="133" t="str">
        <f>IFERROR(_xlfn.XLOOKUP($A243,'Raw Data'!$G:$G,'Raw Data'!AG:AG),"")</f>
        <v/>
      </c>
      <c r="O243" s="134" t="str">
        <f>IFERROR(1-SUMIF('Plant BD'!$H:$H,$A243,'Plant BD'!$AE:$AE)/($AA243+SUMIF('Plant BD'!$H:$H,$A243,'Plant BD'!$AE:$AE)),"")</f>
        <v/>
      </c>
      <c r="P243" s="134"/>
      <c r="Q243" s="135"/>
      <c r="R243" s="134" t="str">
        <f>IFERROR(1-SUMIF('Grid BD'!$H:$H,$A243,'Grid BD'!$AD:$AD)/($AA243+SUMIF('Grid BD'!$H:$H,$A243,'Grid BD'!$AD:$AD)),"")</f>
        <v/>
      </c>
      <c r="T243" s="135"/>
      <c r="U243" s="136" t="str">
        <f t="shared" si="13"/>
        <v/>
      </c>
      <c r="V243" s="136"/>
      <c r="W243" s="137" t="str">
        <f t="shared" si="14"/>
        <v/>
      </c>
      <c r="X243" s="130" t="str">
        <f>IFERROR(_xlfn.XLOOKUP($A243,'Raw Data'!$G:$G,'Raw Data'!AI:AI),"")</f>
        <v/>
      </c>
      <c r="Y243" s="130" t="str">
        <f>IFERROR(_xlfn.XLOOKUP($A243,'Raw Data'!$G:$G,'Raw Data'!AJ:AJ),"")</f>
        <v/>
      </c>
      <c r="Z243" s="130" t="str">
        <f>IFERROR(_xlfn.XLOOKUP($A243,'Raw Data'!$G:$G,'Raw Data'!AK:AK),"")</f>
        <v/>
      </c>
      <c r="AA243" s="130" t="str">
        <f>IFERROR(_xlfn.XLOOKUP($A243,'Raw Data'!$G:$G,'Raw Data'!AL:AL),"")</f>
        <v/>
      </c>
      <c r="AB243" s="130" t="str">
        <f>IFERROR(_xlfn.XLOOKUP($A243,'Raw Data'!$G:$G,'Raw Data'!H:H),"")</f>
        <v/>
      </c>
      <c r="AC243" s="76">
        <f>IFERROR(_xlfn.XLOOKUP($D243,'Modelling New'!$D:$D,'Modelling New'!P:P),"")</f>
        <v>5.4333333333333336</v>
      </c>
      <c r="AD243" s="130">
        <f>IFERROR(_xlfn.XLOOKUP($D243,'Modelling New'!$D:$D,'Modelling New'!$T:$T)*1000,"")</f>
        <v>30935.368854830132</v>
      </c>
      <c r="AE243" s="138">
        <f>IFERROR(_xlfn.XLOOKUP($D243,'Modelling New'!$D:$D,'Modelling New'!O:O),"")</f>
        <v>0.70984879123298372</v>
      </c>
      <c r="AF243" s="137">
        <f>IFERROR(_xlfn.XLOOKUP($D243,'Modelling New'!$D:$D,'Modelling New'!W:W),"")</f>
        <v>0.160701879126356</v>
      </c>
      <c r="AG243" s="137">
        <f>IFERROR(_xlfn.XLOOKUP($D243,'Modelling New'!$D:$D,'Modelling New'!AE:AE),"")</f>
        <v>0.98040000000000005</v>
      </c>
      <c r="AH243" s="156">
        <f>IFERROR(_xlfn.XLOOKUP($D243,'Modelling New'!$D:$D,'Modelling New'!AF:AF),"")</f>
        <v>0.98</v>
      </c>
      <c r="AN243" s="134"/>
      <c r="AO243" s="137"/>
      <c r="AP243" s="137"/>
      <c r="AQ243" s="137"/>
      <c r="AR243" s="130">
        <f>'Basic Data'!$B$98/1000</f>
        <v>8.0208999999999993</v>
      </c>
    </row>
    <row r="244" spans="1:44" x14ac:dyDescent="0.3">
      <c r="A244" s="129">
        <f t="shared" si="15"/>
        <v>45987</v>
      </c>
      <c r="B244" s="130">
        <f>YEAR(Table13[[#This Row],[Date]])+IF(MONTH(Table13[[#This Row],[Date]])&gt;=4,1,0)</f>
        <v>2026</v>
      </c>
      <c r="C244" s="7">
        <f>YEAR(Table13[[#This Row],[Date]])</f>
        <v>2025</v>
      </c>
      <c r="D244" s="131">
        <f>Table13[[#This Row],[Date]]-DAY(Table13[[#This Row],[Date]])+1</f>
        <v>45962</v>
      </c>
      <c r="E244" s="7">
        <f t="shared" si="12"/>
        <v>30</v>
      </c>
      <c r="F244" s="132" t="str">
        <f>IFERROR(_xlfn.XLOOKUP($A244,'Raw Data'!$G:$G,'Raw Data'!$AM:$AM),"")</f>
        <v/>
      </c>
      <c r="G244" s="133" t="str">
        <f>IFERROR(_xlfn.XLOOKUP($A244,'Raw Data'!$G:$G,'Raw Data'!$AB:$AB),"")</f>
        <v/>
      </c>
      <c r="H244" s="133"/>
      <c r="I244" s="133" t="str">
        <f>IFERROR(_xlfn.XLOOKUP($A244,'Raw Data'!$G:$G,'Raw Data'!$AC:$AC),"")</f>
        <v/>
      </c>
      <c r="J244" s="133"/>
      <c r="K244" s="133" t="str">
        <f>IFERROR(_xlfn.XLOOKUP($A244,'Raw Data'!$G:$G,'Raw Data'!AD:AD),"")</f>
        <v/>
      </c>
      <c r="L244" s="133" t="str">
        <f>IFERROR(_xlfn.XLOOKUP($A244,'Raw Data'!$G:$G,'Raw Data'!AE:AE),"")</f>
        <v/>
      </c>
      <c r="M244" s="133" t="str">
        <f>IFERROR(_xlfn.XLOOKUP($A244,'Raw Data'!$G:$G,'Raw Data'!AF:AF),"")</f>
        <v/>
      </c>
      <c r="N244" s="133" t="str">
        <f>IFERROR(_xlfn.XLOOKUP($A244,'Raw Data'!$G:$G,'Raw Data'!AG:AG),"")</f>
        <v/>
      </c>
      <c r="O244" s="134" t="str">
        <f>IFERROR(1-SUMIF('Plant BD'!$H:$H,$A244,'Plant BD'!$AE:$AE)/($AA244+SUMIF('Plant BD'!$H:$H,$A244,'Plant BD'!$AE:$AE)),"")</f>
        <v/>
      </c>
      <c r="P244" s="134"/>
      <c r="Q244" s="135"/>
      <c r="R244" s="134" t="str">
        <f>IFERROR(1-SUMIF('Grid BD'!$H:$H,$A244,'Grid BD'!$AD:$AD)/($AA244+SUMIF('Grid BD'!$H:$H,$A244,'Grid BD'!$AD:$AD)),"")</f>
        <v/>
      </c>
      <c r="T244" s="135"/>
      <c r="U244" s="136" t="str">
        <f t="shared" si="13"/>
        <v/>
      </c>
      <c r="V244" s="136"/>
      <c r="W244" s="137" t="str">
        <f t="shared" si="14"/>
        <v/>
      </c>
      <c r="X244" s="130" t="str">
        <f>IFERROR(_xlfn.XLOOKUP($A244,'Raw Data'!$G:$G,'Raw Data'!AI:AI),"")</f>
        <v/>
      </c>
      <c r="Y244" s="130" t="str">
        <f>IFERROR(_xlfn.XLOOKUP($A244,'Raw Data'!$G:$G,'Raw Data'!AJ:AJ),"")</f>
        <v/>
      </c>
      <c r="Z244" s="130" t="str">
        <f>IFERROR(_xlfn.XLOOKUP($A244,'Raw Data'!$G:$G,'Raw Data'!AK:AK),"")</f>
        <v/>
      </c>
      <c r="AA244" s="130" t="str">
        <f>IFERROR(_xlfn.XLOOKUP($A244,'Raw Data'!$G:$G,'Raw Data'!AL:AL),"")</f>
        <v/>
      </c>
      <c r="AB244" s="130" t="str">
        <f>IFERROR(_xlfn.XLOOKUP($A244,'Raw Data'!$G:$G,'Raw Data'!H:H),"")</f>
        <v/>
      </c>
      <c r="AC244" s="76">
        <f>IFERROR(_xlfn.XLOOKUP($D244,'Modelling New'!$D:$D,'Modelling New'!P:P),"")</f>
        <v>5.4333333333333336</v>
      </c>
      <c r="AD244" s="130">
        <f>IFERROR(_xlfn.XLOOKUP($D244,'Modelling New'!$D:$D,'Modelling New'!$T:$T)*1000,"")</f>
        <v>30935.368854830132</v>
      </c>
      <c r="AE244" s="138">
        <f>IFERROR(_xlfn.XLOOKUP($D244,'Modelling New'!$D:$D,'Modelling New'!O:O),"")</f>
        <v>0.70984879123298372</v>
      </c>
      <c r="AF244" s="137">
        <f>IFERROR(_xlfn.XLOOKUP($D244,'Modelling New'!$D:$D,'Modelling New'!W:W),"")</f>
        <v>0.160701879126356</v>
      </c>
      <c r="AG244" s="137">
        <f>IFERROR(_xlfn.XLOOKUP($D244,'Modelling New'!$D:$D,'Modelling New'!AE:AE),"")</f>
        <v>0.98040000000000005</v>
      </c>
      <c r="AH244" s="156">
        <f>IFERROR(_xlfn.XLOOKUP($D244,'Modelling New'!$D:$D,'Modelling New'!AF:AF),"")</f>
        <v>0.98</v>
      </c>
      <c r="AN244" s="134"/>
      <c r="AO244" s="137"/>
      <c r="AP244" s="137"/>
      <c r="AQ244" s="137"/>
      <c r="AR244" s="130">
        <f>'Basic Data'!$B$98/1000</f>
        <v>8.0208999999999993</v>
      </c>
    </row>
    <row r="245" spans="1:44" x14ac:dyDescent="0.3">
      <c r="A245" s="129">
        <f t="shared" si="15"/>
        <v>45988</v>
      </c>
      <c r="B245" s="130">
        <f>YEAR(Table13[[#This Row],[Date]])+IF(MONTH(Table13[[#This Row],[Date]])&gt;=4,1,0)</f>
        <v>2026</v>
      </c>
      <c r="C245" s="7">
        <f>YEAR(Table13[[#This Row],[Date]])</f>
        <v>2025</v>
      </c>
      <c r="D245" s="131">
        <f>Table13[[#This Row],[Date]]-DAY(Table13[[#This Row],[Date]])+1</f>
        <v>45962</v>
      </c>
      <c r="E245" s="7">
        <f t="shared" ref="E245:E308" si="16">DAY(EOMONTH(A245,0))</f>
        <v>30</v>
      </c>
      <c r="F245" s="132" t="str">
        <f>IFERROR(_xlfn.XLOOKUP($A245,'Raw Data'!$G:$G,'Raw Data'!$AM:$AM),"")</f>
        <v/>
      </c>
      <c r="G245" s="133" t="str">
        <f>IFERROR(_xlfn.XLOOKUP($A245,'Raw Data'!$G:$G,'Raw Data'!$AB:$AB),"")</f>
        <v/>
      </c>
      <c r="H245" s="133"/>
      <c r="I245" s="133" t="str">
        <f>IFERROR(_xlfn.XLOOKUP($A245,'Raw Data'!$G:$G,'Raw Data'!$AC:$AC),"")</f>
        <v/>
      </c>
      <c r="J245" s="133"/>
      <c r="K245" s="133" t="str">
        <f>IFERROR(_xlfn.XLOOKUP($A245,'Raw Data'!$G:$G,'Raw Data'!AD:AD),"")</f>
        <v/>
      </c>
      <c r="L245" s="133" t="str">
        <f>IFERROR(_xlfn.XLOOKUP($A245,'Raw Data'!$G:$G,'Raw Data'!AE:AE),"")</f>
        <v/>
      </c>
      <c r="M245" s="133" t="str">
        <f>IFERROR(_xlfn.XLOOKUP($A245,'Raw Data'!$G:$G,'Raw Data'!AF:AF),"")</f>
        <v/>
      </c>
      <c r="N245" s="133" t="str">
        <f>IFERROR(_xlfn.XLOOKUP($A245,'Raw Data'!$G:$G,'Raw Data'!AG:AG),"")</f>
        <v/>
      </c>
      <c r="O245" s="134" t="str">
        <f>IFERROR(1-SUMIF('Plant BD'!$H:$H,$A245,'Plant BD'!$AE:$AE)/($AA245+SUMIF('Plant BD'!$H:$H,$A245,'Plant BD'!$AE:$AE)),"")</f>
        <v/>
      </c>
      <c r="P245" s="134"/>
      <c r="Q245" s="135"/>
      <c r="R245" s="134" t="str">
        <f>IFERROR(1-SUMIF('Grid BD'!$H:$H,$A245,'Grid BD'!$AD:$AD)/($AA245+SUMIF('Grid BD'!$H:$H,$A245,'Grid BD'!$AD:$AD)),"")</f>
        <v/>
      </c>
      <c r="T245" s="135"/>
      <c r="U245" s="136" t="str">
        <f t="shared" ref="U245:U308" si="17">IFERROR(AA245/I245/AB245/1000,"")</f>
        <v/>
      </c>
      <c r="V245" s="136"/>
      <c r="W245" s="137" t="str">
        <f t="shared" ref="W245:W308" si="18">IFERROR(AA245/(24*AB245*1000),"")</f>
        <v/>
      </c>
      <c r="X245" s="130" t="str">
        <f>IFERROR(_xlfn.XLOOKUP($A245,'Raw Data'!$G:$G,'Raw Data'!AI:AI),"")</f>
        <v/>
      </c>
      <c r="Y245" s="130" t="str">
        <f>IFERROR(_xlfn.XLOOKUP($A245,'Raw Data'!$G:$G,'Raw Data'!AJ:AJ),"")</f>
        <v/>
      </c>
      <c r="Z245" s="130" t="str">
        <f>IFERROR(_xlfn.XLOOKUP($A245,'Raw Data'!$G:$G,'Raw Data'!AK:AK),"")</f>
        <v/>
      </c>
      <c r="AA245" s="130" t="str">
        <f>IFERROR(_xlfn.XLOOKUP($A245,'Raw Data'!$G:$G,'Raw Data'!AL:AL),"")</f>
        <v/>
      </c>
      <c r="AB245" s="130" t="str">
        <f>IFERROR(_xlfn.XLOOKUP($A245,'Raw Data'!$G:$G,'Raw Data'!H:H),"")</f>
        <v/>
      </c>
      <c r="AC245" s="76">
        <f>IFERROR(_xlfn.XLOOKUP($D245,'Modelling New'!$D:$D,'Modelling New'!P:P),"")</f>
        <v>5.4333333333333336</v>
      </c>
      <c r="AD245" s="130">
        <f>IFERROR(_xlfn.XLOOKUP($D245,'Modelling New'!$D:$D,'Modelling New'!$T:$T)*1000,"")</f>
        <v>30935.368854830132</v>
      </c>
      <c r="AE245" s="138">
        <f>IFERROR(_xlfn.XLOOKUP($D245,'Modelling New'!$D:$D,'Modelling New'!O:O),"")</f>
        <v>0.70984879123298372</v>
      </c>
      <c r="AF245" s="137">
        <f>IFERROR(_xlfn.XLOOKUP($D245,'Modelling New'!$D:$D,'Modelling New'!W:W),"")</f>
        <v>0.160701879126356</v>
      </c>
      <c r="AG245" s="137">
        <f>IFERROR(_xlfn.XLOOKUP($D245,'Modelling New'!$D:$D,'Modelling New'!AE:AE),"")</f>
        <v>0.98040000000000005</v>
      </c>
      <c r="AH245" s="156">
        <f>IFERROR(_xlfn.XLOOKUP($D245,'Modelling New'!$D:$D,'Modelling New'!AF:AF),"")</f>
        <v>0.98</v>
      </c>
      <c r="AN245" s="134"/>
      <c r="AO245" s="137"/>
      <c r="AP245" s="137"/>
      <c r="AQ245" s="137"/>
      <c r="AR245" s="130">
        <f>'Basic Data'!$B$98/1000</f>
        <v>8.0208999999999993</v>
      </c>
    </row>
    <row r="246" spans="1:44" x14ac:dyDescent="0.3">
      <c r="A246" s="129">
        <f t="shared" ref="A246:A309" si="19">A245+1</f>
        <v>45989</v>
      </c>
      <c r="B246" s="130">
        <f>YEAR(Table13[[#This Row],[Date]])+IF(MONTH(Table13[[#This Row],[Date]])&gt;=4,1,0)</f>
        <v>2026</v>
      </c>
      <c r="C246" s="7">
        <f>YEAR(Table13[[#This Row],[Date]])</f>
        <v>2025</v>
      </c>
      <c r="D246" s="131">
        <f>Table13[[#This Row],[Date]]-DAY(Table13[[#This Row],[Date]])+1</f>
        <v>45962</v>
      </c>
      <c r="E246" s="7">
        <f t="shared" si="16"/>
        <v>30</v>
      </c>
      <c r="F246" s="132" t="str">
        <f>IFERROR(_xlfn.XLOOKUP($A246,'Raw Data'!$G:$G,'Raw Data'!$AM:$AM),"")</f>
        <v/>
      </c>
      <c r="G246" s="133" t="str">
        <f>IFERROR(_xlfn.XLOOKUP($A246,'Raw Data'!$G:$G,'Raw Data'!$AB:$AB),"")</f>
        <v/>
      </c>
      <c r="H246" s="133"/>
      <c r="I246" s="133" t="str">
        <f>IFERROR(_xlfn.XLOOKUP($A246,'Raw Data'!$G:$G,'Raw Data'!$AC:$AC),"")</f>
        <v/>
      </c>
      <c r="J246" s="133"/>
      <c r="K246" s="133" t="str">
        <f>IFERROR(_xlfn.XLOOKUP($A246,'Raw Data'!$G:$G,'Raw Data'!AD:AD),"")</f>
        <v/>
      </c>
      <c r="L246" s="133" t="str">
        <f>IFERROR(_xlfn.XLOOKUP($A246,'Raw Data'!$G:$G,'Raw Data'!AE:AE),"")</f>
        <v/>
      </c>
      <c r="M246" s="133" t="str">
        <f>IFERROR(_xlfn.XLOOKUP($A246,'Raw Data'!$G:$G,'Raw Data'!AF:AF),"")</f>
        <v/>
      </c>
      <c r="N246" s="133" t="str">
        <f>IFERROR(_xlfn.XLOOKUP($A246,'Raw Data'!$G:$G,'Raw Data'!AG:AG),"")</f>
        <v/>
      </c>
      <c r="O246" s="134" t="str">
        <f>IFERROR(1-SUMIF('Plant BD'!$H:$H,$A246,'Plant BD'!$AE:$AE)/($AA246+SUMIF('Plant BD'!$H:$H,$A246,'Plant BD'!$AE:$AE)),"")</f>
        <v/>
      </c>
      <c r="P246" s="134"/>
      <c r="Q246" s="135"/>
      <c r="R246" s="134" t="str">
        <f>IFERROR(1-SUMIF('Grid BD'!$H:$H,$A246,'Grid BD'!$AD:$AD)/($AA246+SUMIF('Grid BD'!$H:$H,$A246,'Grid BD'!$AD:$AD)),"")</f>
        <v/>
      </c>
      <c r="T246" s="135"/>
      <c r="U246" s="136" t="str">
        <f t="shared" si="17"/>
        <v/>
      </c>
      <c r="V246" s="136"/>
      <c r="W246" s="137" t="str">
        <f t="shared" si="18"/>
        <v/>
      </c>
      <c r="X246" s="130" t="str">
        <f>IFERROR(_xlfn.XLOOKUP($A246,'Raw Data'!$G:$G,'Raw Data'!AI:AI),"")</f>
        <v/>
      </c>
      <c r="Y246" s="130" t="str">
        <f>IFERROR(_xlfn.XLOOKUP($A246,'Raw Data'!$G:$G,'Raw Data'!AJ:AJ),"")</f>
        <v/>
      </c>
      <c r="Z246" s="130" t="str">
        <f>IFERROR(_xlfn.XLOOKUP($A246,'Raw Data'!$G:$G,'Raw Data'!AK:AK),"")</f>
        <v/>
      </c>
      <c r="AA246" s="130" t="str">
        <f>IFERROR(_xlfn.XLOOKUP($A246,'Raw Data'!$G:$G,'Raw Data'!AL:AL),"")</f>
        <v/>
      </c>
      <c r="AB246" s="130" t="str">
        <f>IFERROR(_xlfn.XLOOKUP($A246,'Raw Data'!$G:$G,'Raw Data'!H:H),"")</f>
        <v/>
      </c>
      <c r="AC246" s="76">
        <f>IFERROR(_xlfn.XLOOKUP($D246,'Modelling New'!$D:$D,'Modelling New'!P:P),"")</f>
        <v>5.4333333333333336</v>
      </c>
      <c r="AD246" s="130">
        <f>IFERROR(_xlfn.XLOOKUP($D246,'Modelling New'!$D:$D,'Modelling New'!$T:$T)*1000,"")</f>
        <v>30935.368854830132</v>
      </c>
      <c r="AE246" s="138">
        <f>IFERROR(_xlfn.XLOOKUP($D246,'Modelling New'!$D:$D,'Modelling New'!O:O),"")</f>
        <v>0.70984879123298372</v>
      </c>
      <c r="AF246" s="137">
        <f>IFERROR(_xlfn.XLOOKUP($D246,'Modelling New'!$D:$D,'Modelling New'!W:W),"")</f>
        <v>0.160701879126356</v>
      </c>
      <c r="AG246" s="137">
        <f>IFERROR(_xlfn.XLOOKUP($D246,'Modelling New'!$D:$D,'Modelling New'!AE:AE),"")</f>
        <v>0.98040000000000005</v>
      </c>
      <c r="AH246" s="156">
        <f>IFERROR(_xlfn.XLOOKUP($D246,'Modelling New'!$D:$D,'Modelling New'!AF:AF),"")</f>
        <v>0.98</v>
      </c>
      <c r="AN246" s="134"/>
      <c r="AO246" s="137"/>
      <c r="AP246" s="137"/>
      <c r="AQ246" s="137"/>
      <c r="AR246" s="130">
        <f>'Basic Data'!$B$98/1000</f>
        <v>8.0208999999999993</v>
      </c>
    </row>
    <row r="247" spans="1:44" x14ac:dyDescent="0.3">
      <c r="A247" s="129">
        <f t="shared" si="19"/>
        <v>45990</v>
      </c>
      <c r="B247" s="130">
        <f>YEAR(Table13[[#This Row],[Date]])+IF(MONTH(Table13[[#This Row],[Date]])&gt;=4,1,0)</f>
        <v>2026</v>
      </c>
      <c r="C247" s="7">
        <f>YEAR(Table13[[#This Row],[Date]])</f>
        <v>2025</v>
      </c>
      <c r="D247" s="131">
        <f>Table13[[#This Row],[Date]]-DAY(Table13[[#This Row],[Date]])+1</f>
        <v>45962</v>
      </c>
      <c r="E247" s="7">
        <f t="shared" si="16"/>
        <v>30</v>
      </c>
      <c r="F247" s="132" t="str">
        <f>IFERROR(_xlfn.XLOOKUP($A247,'Raw Data'!$G:$G,'Raw Data'!$AM:$AM),"")</f>
        <v/>
      </c>
      <c r="G247" s="133" t="str">
        <f>IFERROR(_xlfn.XLOOKUP($A247,'Raw Data'!$G:$G,'Raw Data'!$AB:$AB),"")</f>
        <v/>
      </c>
      <c r="H247" s="133"/>
      <c r="I247" s="133" t="str">
        <f>IFERROR(_xlfn.XLOOKUP($A247,'Raw Data'!$G:$G,'Raw Data'!$AC:$AC),"")</f>
        <v/>
      </c>
      <c r="J247" s="133"/>
      <c r="K247" s="133" t="str">
        <f>IFERROR(_xlfn.XLOOKUP($A247,'Raw Data'!$G:$G,'Raw Data'!AD:AD),"")</f>
        <v/>
      </c>
      <c r="L247" s="133" t="str">
        <f>IFERROR(_xlfn.XLOOKUP($A247,'Raw Data'!$G:$G,'Raw Data'!AE:AE),"")</f>
        <v/>
      </c>
      <c r="M247" s="133" t="str">
        <f>IFERROR(_xlfn.XLOOKUP($A247,'Raw Data'!$G:$G,'Raw Data'!AF:AF),"")</f>
        <v/>
      </c>
      <c r="N247" s="133" t="str">
        <f>IFERROR(_xlfn.XLOOKUP($A247,'Raw Data'!$G:$G,'Raw Data'!AG:AG),"")</f>
        <v/>
      </c>
      <c r="O247" s="134" t="str">
        <f>IFERROR(1-SUMIF('Plant BD'!$H:$H,$A247,'Plant BD'!$AE:$AE)/($AA247+SUMIF('Plant BD'!$H:$H,$A247,'Plant BD'!$AE:$AE)),"")</f>
        <v/>
      </c>
      <c r="P247" s="134"/>
      <c r="Q247" s="135"/>
      <c r="R247" s="134" t="str">
        <f>IFERROR(1-SUMIF('Grid BD'!$H:$H,$A247,'Grid BD'!$AD:$AD)/($AA247+SUMIF('Grid BD'!$H:$H,$A247,'Grid BD'!$AD:$AD)),"")</f>
        <v/>
      </c>
      <c r="T247" s="135"/>
      <c r="U247" s="136" t="str">
        <f t="shared" si="17"/>
        <v/>
      </c>
      <c r="V247" s="136"/>
      <c r="W247" s="137" t="str">
        <f t="shared" si="18"/>
        <v/>
      </c>
      <c r="X247" s="130" t="str">
        <f>IFERROR(_xlfn.XLOOKUP($A247,'Raw Data'!$G:$G,'Raw Data'!AI:AI),"")</f>
        <v/>
      </c>
      <c r="Y247" s="130" t="str">
        <f>IFERROR(_xlfn.XLOOKUP($A247,'Raw Data'!$G:$G,'Raw Data'!AJ:AJ),"")</f>
        <v/>
      </c>
      <c r="Z247" s="130" t="str">
        <f>IFERROR(_xlfn.XLOOKUP($A247,'Raw Data'!$G:$G,'Raw Data'!AK:AK),"")</f>
        <v/>
      </c>
      <c r="AA247" s="130" t="str">
        <f>IFERROR(_xlfn.XLOOKUP($A247,'Raw Data'!$G:$G,'Raw Data'!AL:AL),"")</f>
        <v/>
      </c>
      <c r="AB247" s="130" t="str">
        <f>IFERROR(_xlfn.XLOOKUP($A247,'Raw Data'!$G:$G,'Raw Data'!H:H),"")</f>
        <v/>
      </c>
      <c r="AC247" s="76">
        <f>IFERROR(_xlfn.XLOOKUP($D247,'Modelling New'!$D:$D,'Modelling New'!P:P),"")</f>
        <v>5.4333333333333336</v>
      </c>
      <c r="AD247" s="130">
        <f>IFERROR(_xlfn.XLOOKUP($D247,'Modelling New'!$D:$D,'Modelling New'!$T:$T)*1000,"")</f>
        <v>30935.368854830132</v>
      </c>
      <c r="AE247" s="138">
        <f>IFERROR(_xlfn.XLOOKUP($D247,'Modelling New'!$D:$D,'Modelling New'!O:O),"")</f>
        <v>0.70984879123298372</v>
      </c>
      <c r="AF247" s="137">
        <f>IFERROR(_xlfn.XLOOKUP($D247,'Modelling New'!$D:$D,'Modelling New'!W:W),"")</f>
        <v>0.160701879126356</v>
      </c>
      <c r="AG247" s="137">
        <f>IFERROR(_xlfn.XLOOKUP($D247,'Modelling New'!$D:$D,'Modelling New'!AE:AE),"")</f>
        <v>0.98040000000000005</v>
      </c>
      <c r="AH247" s="156">
        <f>IFERROR(_xlfn.XLOOKUP($D247,'Modelling New'!$D:$D,'Modelling New'!AF:AF),"")</f>
        <v>0.98</v>
      </c>
      <c r="AN247" s="134"/>
      <c r="AO247" s="137"/>
      <c r="AP247" s="137"/>
      <c r="AQ247" s="137"/>
      <c r="AR247" s="130">
        <f>'Basic Data'!$B$98/1000</f>
        <v>8.0208999999999993</v>
      </c>
    </row>
    <row r="248" spans="1:44" x14ac:dyDescent="0.3">
      <c r="A248" s="129">
        <f t="shared" si="19"/>
        <v>45991</v>
      </c>
      <c r="B248" s="130">
        <f>YEAR(Table13[[#This Row],[Date]])+IF(MONTH(Table13[[#This Row],[Date]])&gt;=4,1,0)</f>
        <v>2026</v>
      </c>
      <c r="C248" s="7">
        <f>YEAR(Table13[[#This Row],[Date]])</f>
        <v>2025</v>
      </c>
      <c r="D248" s="131">
        <f>Table13[[#This Row],[Date]]-DAY(Table13[[#This Row],[Date]])+1</f>
        <v>45962</v>
      </c>
      <c r="E248" s="7">
        <f t="shared" si="16"/>
        <v>30</v>
      </c>
      <c r="F248" s="132" t="str">
        <f>IFERROR(_xlfn.XLOOKUP($A248,'Raw Data'!$G:$G,'Raw Data'!$AM:$AM),"")</f>
        <v/>
      </c>
      <c r="G248" s="133" t="str">
        <f>IFERROR(_xlfn.XLOOKUP($A248,'Raw Data'!$G:$G,'Raw Data'!$AB:$AB),"")</f>
        <v/>
      </c>
      <c r="H248" s="133"/>
      <c r="I248" s="133" t="str">
        <f>IFERROR(_xlfn.XLOOKUP($A248,'Raw Data'!$G:$G,'Raw Data'!$AC:$AC),"")</f>
        <v/>
      </c>
      <c r="J248" s="133"/>
      <c r="K248" s="133" t="str">
        <f>IFERROR(_xlfn.XLOOKUP($A248,'Raw Data'!$G:$G,'Raw Data'!AD:AD),"")</f>
        <v/>
      </c>
      <c r="L248" s="133" t="str">
        <f>IFERROR(_xlfn.XLOOKUP($A248,'Raw Data'!$G:$G,'Raw Data'!AE:AE),"")</f>
        <v/>
      </c>
      <c r="M248" s="133" t="str">
        <f>IFERROR(_xlfn.XLOOKUP($A248,'Raw Data'!$G:$G,'Raw Data'!AF:AF),"")</f>
        <v/>
      </c>
      <c r="N248" s="133" t="str">
        <f>IFERROR(_xlfn.XLOOKUP($A248,'Raw Data'!$G:$G,'Raw Data'!AG:AG),"")</f>
        <v/>
      </c>
      <c r="O248" s="134" t="str">
        <f>IFERROR(1-SUMIF('Plant BD'!$H:$H,$A248,'Plant BD'!$AE:$AE)/($AA248+SUMIF('Plant BD'!$H:$H,$A248,'Plant BD'!$AE:$AE)),"")</f>
        <v/>
      </c>
      <c r="P248" s="134"/>
      <c r="Q248" s="135"/>
      <c r="R248" s="134" t="str">
        <f>IFERROR(1-SUMIF('Grid BD'!$H:$H,$A248,'Grid BD'!$AD:$AD)/($AA248+SUMIF('Grid BD'!$H:$H,$A248,'Grid BD'!$AD:$AD)),"")</f>
        <v/>
      </c>
      <c r="T248" s="135"/>
      <c r="U248" s="136" t="str">
        <f t="shared" si="17"/>
        <v/>
      </c>
      <c r="V248" s="136"/>
      <c r="W248" s="137" t="str">
        <f t="shared" si="18"/>
        <v/>
      </c>
      <c r="X248" s="130" t="str">
        <f>IFERROR(_xlfn.XLOOKUP($A248,'Raw Data'!$G:$G,'Raw Data'!AI:AI),"")</f>
        <v/>
      </c>
      <c r="Y248" s="130" t="str">
        <f>IFERROR(_xlfn.XLOOKUP($A248,'Raw Data'!$G:$G,'Raw Data'!AJ:AJ),"")</f>
        <v/>
      </c>
      <c r="Z248" s="130" t="str">
        <f>IFERROR(_xlfn.XLOOKUP($A248,'Raw Data'!$G:$G,'Raw Data'!AK:AK),"")</f>
        <v/>
      </c>
      <c r="AA248" s="130" t="str">
        <f>IFERROR(_xlfn.XLOOKUP($A248,'Raw Data'!$G:$G,'Raw Data'!AL:AL),"")</f>
        <v/>
      </c>
      <c r="AB248" s="130" t="str">
        <f>IFERROR(_xlfn.XLOOKUP($A248,'Raw Data'!$G:$G,'Raw Data'!H:H),"")</f>
        <v/>
      </c>
      <c r="AC248" s="76">
        <f>IFERROR(_xlfn.XLOOKUP($D248,'Modelling New'!$D:$D,'Modelling New'!P:P),"")</f>
        <v>5.4333333333333336</v>
      </c>
      <c r="AD248" s="130">
        <f>IFERROR(_xlfn.XLOOKUP($D248,'Modelling New'!$D:$D,'Modelling New'!$T:$T)*1000,"")</f>
        <v>30935.368854830132</v>
      </c>
      <c r="AE248" s="138">
        <f>IFERROR(_xlfn.XLOOKUP($D248,'Modelling New'!$D:$D,'Modelling New'!O:O),"")</f>
        <v>0.70984879123298372</v>
      </c>
      <c r="AF248" s="137">
        <f>IFERROR(_xlfn.XLOOKUP($D248,'Modelling New'!$D:$D,'Modelling New'!W:W),"")</f>
        <v>0.160701879126356</v>
      </c>
      <c r="AG248" s="137">
        <f>IFERROR(_xlfn.XLOOKUP($D248,'Modelling New'!$D:$D,'Modelling New'!AE:AE),"")</f>
        <v>0.98040000000000005</v>
      </c>
      <c r="AH248" s="156">
        <f>IFERROR(_xlfn.XLOOKUP($D248,'Modelling New'!$D:$D,'Modelling New'!AF:AF),"")</f>
        <v>0.98</v>
      </c>
      <c r="AN248" s="134"/>
      <c r="AO248" s="137"/>
      <c r="AP248" s="137"/>
      <c r="AQ248" s="137"/>
      <c r="AR248" s="130">
        <f>'Basic Data'!$B$98/1000</f>
        <v>8.0208999999999993</v>
      </c>
    </row>
    <row r="249" spans="1:44" x14ac:dyDescent="0.3">
      <c r="A249" s="129">
        <f t="shared" si="19"/>
        <v>45992</v>
      </c>
      <c r="B249" s="130">
        <f>YEAR(Table13[[#This Row],[Date]])+IF(MONTH(Table13[[#This Row],[Date]])&gt;=4,1,0)</f>
        <v>2026</v>
      </c>
      <c r="C249" s="7">
        <f>YEAR(Table13[[#This Row],[Date]])</f>
        <v>2025</v>
      </c>
      <c r="D249" s="131">
        <f>Table13[[#This Row],[Date]]-DAY(Table13[[#This Row],[Date]])+1</f>
        <v>45992</v>
      </c>
      <c r="E249" s="7">
        <f t="shared" si="16"/>
        <v>31</v>
      </c>
      <c r="F249" s="132" t="str">
        <f>IFERROR(_xlfn.XLOOKUP($A249,'Raw Data'!$G:$G,'Raw Data'!$AM:$AM),"")</f>
        <v/>
      </c>
      <c r="G249" s="133" t="str">
        <f>IFERROR(_xlfn.XLOOKUP($A249,'Raw Data'!$G:$G,'Raw Data'!$AB:$AB),"")</f>
        <v/>
      </c>
      <c r="H249" s="133"/>
      <c r="I249" s="133" t="str">
        <f>IFERROR(_xlfn.XLOOKUP($A249,'Raw Data'!$G:$G,'Raw Data'!$AC:$AC),"")</f>
        <v/>
      </c>
      <c r="J249" s="133"/>
      <c r="K249" s="133" t="str">
        <f>IFERROR(_xlfn.XLOOKUP($A249,'Raw Data'!$G:$G,'Raw Data'!AD:AD),"")</f>
        <v/>
      </c>
      <c r="L249" s="133" t="str">
        <f>IFERROR(_xlfn.XLOOKUP($A249,'Raw Data'!$G:$G,'Raw Data'!AE:AE),"")</f>
        <v/>
      </c>
      <c r="M249" s="133" t="str">
        <f>IFERROR(_xlfn.XLOOKUP($A249,'Raw Data'!$G:$G,'Raw Data'!AF:AF),"")</f>
        <v/>
      </c>
      <c r="N249" s="133" t="str">
        <f>IFERROR(_xlfn.XLOOKUP($A249,'Raw Data'!$G:$G,'Raw Data'!AG:AG),"")</f>
        <v/>
      </c>
      <c r="O249" s="134" t="str">
        <f>IFERROR(1-SUMIF('Plant BD'!$H:$H,$A249,'Plant BD'!$AE:$AE)/($AA249+SUMIF('Plant BD'!$H:$H,$A249,'Plant BD'!$AE:$AE)),"")</f>
        <v/>
      </c>
      <c r="P249" s="134"/>
      <c r="Q249" s="135"/>
      <c r="R249" s="134" t="str">
        <f>IFERROR(1-SUMIF('Grid BD'!$H:$H,$A249,'Grid BD'!$AD:$AD)/($AA249+SUMIF('Grid BD'!$H:$H,$A249,'Grid BD'!$AD:$AD)),"")</f>
        <v/>
      </c>
      <c r="T249" s="135"/>
      <c r="U249" s="136" t="str">
        <f t="shared" si="17"/>
        <v/>
      </c>
      <c r="V249" s="136"/>
      <c r="W249" s="137" t="str">
        <f t="shared" si="18"/>
        <v/>
      </c>
      <c r="X249" s="130" t="str">
        <f>IFERROR(_xlfn.XLOOKUP($A249,'Raw Data'!$G:$G,'Raw Data'!AI:AI),"")</f>
        <v/>
      </c>
      <c r="Y249" s="130" t="str">
        <f>IFERROR(_xlfn.XLOOKUP($A249,'Raw Data'!$G:$G,'Raw Data'!AJ:AJ),"")</f>
        <v/>
      </c>
      <c r="Z249" s="130" t="str">
        <f>IFERROR(_xlfn.XLOOKUP($A249,'Raw Data'!$G:$G,'Raw Data'!AK:AK),"")</f>
        <v/>
      </c>
      <c r="AA249" s="130" t="str">
        <f>IFERROR(_xlfn.XLOOKUP($A249,'Raw Data'!$G:$G,'Raw Data'!AL:AL),"")</f>
        <v/>
      </c>
      <c r="AB249" s="130" t="str">
        <f>IFERROR(_xlfn.XLOOKUP($A249,'Raw Data'!$G:$G,'Raw Data'!H:H),"")</f>
        <v/>
      </c>
      <c r="AC249" s="76">
        <f>IFERROR(_xlfn.XLOOKUP($D249,'Modelling New'!$D:$D,'Modelling New'!P:P),"")</f>
        <v>5.2806451612903222</v>
      </c>
      <c r="AD249" s="130">
        <f>IFERROR(_xlfn.XLOOKUP($D249,'Modelling New'!$D:$D,'Modelling New'!$T:$T)*1000,"")</f>
        <v>31172.693339085006</v>
      </c>
      <c r="AE249" s="138">
        <f>IFERROR(_xlfn.XLOOKUP($D249,'Modelling New'!$D:$D,'Modelling New'!O:O),"")</f>
        <v>0.73597699552347362</v>
      </c>
      <c r="AF249" s="137">
        <f>IFERROR(_xlfn.XLOOKUP($D249,'Modelling New'!$D:$D,'Modelling New'!W:W),"")</f>
        <v>0.16193472334300082</v>
      </c>
      <c r="AG249" s="137">
        <f>IFERROR(_xlfn.XLOOKUP($D249,'Modelling New'!$D:$D,'Modelling New'!AE:AE),"")</f>
        <v>0.98040000000000005</v>
      </c>
      <c r="AH249" s="156">
        <f>IFERROR(_xlfn.XLOOKUP($D249,'Modelling New'!$D:$D,'Modelling New'!AF:AF),"")</f>
        <v>0.98</v>
      </c>
      <c r="AN249" s="134"/>
      <c r="AO249" s="137"/>
      <c r="AP249" s="137"/>
      <c r="AQ249" s="137"/>
      <c r="AR249" s="130">
        <f>'Basic Data'!$B$98/1000</f>
        <v>8.0208999999999993</v>
      </c>
    </row>
    <row r="250" spans="1:44" x14ac:dyDescent="0.3">
      <c r="A250" s="129">
        <f t="shared" si="19"/>
        <v>45993</v>
      </c>
      <c r="B250" s="130">
        <f>YEAR(Table13[[#This Row],[Date]])+IF(MONTH(Table13[[#This Row],[Date]])&gt;=4,1,0)</f>
        <v>2026</v>
      </c>
      <c r="C250" s="7">
        <f>YEAR(Table13[[#This Row],[Date]])</f>
        <v>2025</v>
      </c>
      <c r="D250" s="131">
        <f>Table13[[#This Row],[Date]]-DAY(Table13[[#This Row],[Date]])+1</f>
        <v>45992</v>
      </c>
      <c r="E250" s="7">
        <f t="shared" si="16"/>
        <v>31</v>
      </c>
      <c r="F250" s="132" t="str">
        <f>IFERROR(_xlfn.XLOOKUP($A250,'Raw Data'!$G:$G,'Raw Data'!$AM:$AM),"")</f>
        <v/>
      </c>
      <c r="G250" s="133" t="str">
        <f>IFERROR(_xlfn.XLOOKUP($A250,'Raw Data'!$G:$G,'Raw Data'!$AB:$AB),"")</f>
        <v/>
      </c>
      <c r="H250" s="133"/>
      <c r="I250" s="133" t="str">
        <f>IFERROR(_xlfn.XLOOKUP($A250,'Raw Data'!$G:$G,'Raw Data'!$AC:$AC),"")</f>
        <v/>
      </c>
      <c r="J250" s="133"/>
      <c r="K250" s="133" t="str">
        <f>IFERROR(_xlfn.XLOOKUP($A250,'Raw Data'!$G:$G,'Raw Data'!AD:AD),"")</f>
        <v/>
      </c>
      <c r="L250" s="133" t="str">
        <f>IFERROR(_xlfn.XLOOKUP($A250,'Raw Data'!$G:$G,'Raw Data'!AE:AE),"")</f>
        <v/>
      </c>
      <c r="M250" s="133" t="str">
        <f>IFERROR(_xlfn.XLOOKUP($A250,'Raw Data'!$G:$G,'Raw Data'!AF:AF),"")</f>
        <v/>
      </c>
      <c r="N250" s="133" t="str">
        <f>IFERROR(_xlfn.XLOOKUP($A250,'Raw Data'!$G:$G,'Raw Data'!AG:AG),"")</f>
        <v/>
      </c>
      <c r="O250" s="134" t="str">
        <f>IFERROR(1-SUMIF('Plant BD'!$H:$H,$A250,'Plant BD'!$AE:$AE)/($AA250+SUMIF('Plant BD'!$H:$H,$A250,'Plant BD'!$AE:$AE)),"")</f>
        <v/>
      </c>
      <c r="P250" s="134"/>
      <c r="Q250" s="135"/>
      <c r="R250" s="134" t="str">
        <f>IFERROR(1-SUMIF('Grid BD'!$H:$H,$A250,'Grid BD'!$AD:$AD)/($AA250+SUMIF('Grid BD'!$H:$H,$A250,'Grid BD'!$AD:$AD)),"")</f>
        <v/>
      </c>
      <c r="T250" s="135"/>
      <c r="U250" s="136" t="str">
        <f t="shared" si="17"/>
        <v/>
      </c>
      <c r="V250" s="136"/>
      <c r="W250" s="137" t="str">
        <f t="shared" si="18"/>
        <v/>
      </c>
      <c r="X250" s="130" t="str">
        <f>IFERROR(_xlfn.XLOOKUP($A250,'Raw Data'!$G:$G,'Raw Data'!AI:AI),"")</f>
        <v/>
      </c>
      <c r="Y250" s="130" t="str">
        <f>IFERROR(_xlfn.XLOOKUP($A250,'Raw Data'!$G:$G,'Raw Data'!AJ:AJ),"")</f>
        <v/>
      </c>
      <c r="Z250" s="130" t="str">
        <f>IFERROR(_xlfn.XLOOKUP($A250,'Raw Data'!$G:$G,'Raw Data'!AK:AK),"")</f>
        <v/>
      </c>
      <c r="AA250" s="130" t="str">
        <f>IFERROR(_xlfn.XLOOKUP($A250,'Raw Data'!$G:$G,'Raw Data'!AL:AL),"")</f>
        <v/>
      </c>
      <c r="AB250" s="130" t="str">
        <f>IFERROR(_xlfn.XLOOKUP($A250,'Raw Data'!$G:$G,'Raw Data'!H:H),"")</f>
        <v/>
      </c>
      <c r="AC250" s="76">
        <f>IFERROR(_xlfn.XLOOKUP($D250,'Modelling New'!$D:$D,'Modelling New'!P:P),"")</f>
        <v>5.2806451612903222</v>
      </c>
      <c r="AD250" s="130">
        <f>IFERROR(_xlfn.XLOOKUP($D250,'Modelling New'!$D:$D,'Modelling New'!$T:$T)*1000,"")</f>
        <v>31172.693339085006</v>
      </c>
      <c r="AE250" s="138">
        <f>IFERROR(_xlfn.XLOOKUP($D250,'Modelling New'!$D:$D,'Modelling New'!O:O),"")</f>
        <v>0.73597699552347362</v>
      </c>
      <c r="AF250" s="137">
        <f>IFERROR(_xlfn.XLOOKUP($D250,'Modelling New'!$D:$D,'Modelling New'!W:W),"")</f>
        <v>0.16193472334300082</v>
      </c>
      <c r="AG250" s="137">
        <f>IFERROR(_xlfn.XLOOKUP($D250,'Modelling New'!$D:$D,'Modelling New'!AE:AE),"")</f>
        <v>0.98040000000000005</v>
      </c>
      <c r="AH250" s="156">
        <f>IFERROR(_xlfn.XLOOKUP($D250,'Modelling New'!$D:$D,'Modelling New'!AF:AF),"")</f>
        <v>0.98</v>
      </c>
      <c r="AN250" s="134"/>
      <c r="AO250" s="137"/>
      <c r="AP250" s="137"/>
      <c r="AQ250" s="137"/>
      <c r="AR250" s="130">
        <f>'Basic Data'!$B$98/1000</f>
        <v>8.0208999999999993</v>
      </c>
    </row>
    <row r="251" spans="1:44" x14ac:dyDescent="0.3">
      <c r="A251" s="129">
        <f t="shared" si="19"/>
        <v>45994</v>
      </c>
      <c r="B251" s="130">
        <f>YEAR(Table13[[#This Row],[Date]])+IF(MONTH(Table13[[#This Row],[Date]])&gt;=4,1,0)</f>
        <v>2026</v>
      </c>
      <c r="C251" s="7">
        <f>YEAR(Table13[[#This Row],[Date]])</f>
        <v>2025</v>
      </c>
      <c r="D251" s="131">
        <f>Table13[[#This Row],[Date]]-DAY(Table13[[#This Row],[Date]])+1</f>
        <v>45992</v>
      </c>
      <c r="E251" s="7">
        <f t="shared" si="16"/>
        <v>31</v>
      </c>
      <c r="F251" s="132" t="str">
        <f>IFERROR(_xlfn.XLOOKUP($A251,'Raw Data'!$G:$G,'Raw Data'!$AM:$AM),"")</f>
        <v/>
      </c>
      <c r="G251" s="133" t="str">
        <f>IFERROR(_xlfn.XLOOKUP($A251,'Raw Data'!$G:$G,'Raw Data'!$AB:$AB),"")</f>
        <v/>
      </c>
      <c r="H251" s="133"/>
      <c r="I251" s="133" t="str">
        <f>IFERROR(_xlfn.XLOOKUP($A251,'Raw Data'!$G:$G,'Raw Data'!$AC:$AC),"")</f>
        <v/>
      </c>
      <c r="J251" s="133"/>
      <c r="K251" s="133" t="str">
        <f>IFERROR(_xlfn.XLOOKUP($A251,'Raw Data'!$G:$G,'Raw Data'!AD:AD),"")</f>
        <v/>
      </c>
      <c r="L251" s="133" t="str">
        <f>IFERROR(_xlfn.XLOOKUP($A251,'Raw Data'!$G:$G,'Raw Data'!AE:AE),"")</f>
        <v/>
      </c>
      <c r="M251" s="133" t="str">
        <f>IFERROR(_xlfn.XLOOKUP($A251,'Raw Data'!$G:$G,'Raw Data'!AF:AF),"")</f>
        <v/>
      </c>
      <c r="N251" s="133" t="str">
        <f>IFERROR(_xlfn.XLOOKUP($A251,'Raw Data'!$G:$G,'Raw Data'!AG:AG),"")</f>
        <v/>
      </c>
      <c r="O251" s="134" t="str">
        <f>IFERROR(1-SUMIF('Plant BD'!$H:$H,$A251,'Plant BD'!$AE:$AE)/($AA251+SUMIF('Plant BD'!$H:$H,$A251,'Plant BD'!$AE:$AE)),"")</f>
        <v/>
      </c>
      <c r="P251" s="134"/>
      <c r="Q251" s="135"/>
      <c r="R251" s="134" t="str">
        <f>IFERROR(1-SUMIF('Grid BD'!$H:$H,$A251,'Grid BD'!$AD:$AD)/($AA251+SUMIF('Grid BD'!$H:$H,$A251,'Grid BD'!$AD:$AD)),"")</f>
        <v/>
      </c>
      <c r="T251" s="135"/>
      <c r="U251" s="136" t="str">
        <f t="shared" si="17"/>
        <v/>
      </c>
      <c r="V251" s="136"/>
      <c r="W251" s="137" t="str">
        <f t="shared" si="18"/>
        <v/>
      </c>
      <c r="X251" s="130" t="str">
        <f>IFERROR(_xlfn.XLOOKUP($A251,'Raw Data'!$G:$G,'Raw Data'!AI:AI),"")</f>
        <v/>
      </c>
      <c r="Y251" s="130" t="str">
        <f>IFERROR(_xlfn.XLOOKUP($A251,'Raw Data'!$G:$G,'Raw Data'!AJ:AJ),"")</f>
        <v/>
      </c>
      <c r="Z251" s="130" t="str">
        <f>IFERROR(_xlfn.XLOOKUP($A251,'Raw Data'!$G:$G,'Raw Data'!AK:AK),"")</f>
        <v/>
      </c>
      <c r="AA251" s="130" t="str">
        <f>IFERROR(_xlfn.XLOOKUP($A251,'Raw Data'!$G:$G,'Raw Data'!AL:AL),"")</f>
        <v/>
      </c>
      <c r="AB251" s="130" t="str">
        <f>IFERROR(_xlfn.XLOOKUP($A251,'Raw Data'!$G:$G,'Raw Data'!H:H),"")</f>
        <v/>
      </c>
      <c r="AC251" s="76">
        <f>IFERROR(_xlfn.XLOOKUP($D251,'Modelling New'!$D:$D,'Modelling New'!P:P),"")</f>
        <v>5.2806451612903222</v>
      </c>
      <c r="AD251" s="130">
        <f>IFERROR(_xlfn.XLOOKUP($D251,'Modelling New'!$D:$D,'Modelling New'!$T:$T)*1000,"")</f>
        <v>31172.693339085006</v>
      </c>
      <c r="AE251" s="138">
        <f>IFERROR(_xlfn.XLOOKUP($D251,'Modelling New'!$D:$D,'Modelling New'!O:O),"")</f>
        <v>0.73597699552347362</v>
      </c>
      <c r="AF251" s="137">
        <f>IFERROR(_xlfn.XLOOKUP($D251,'Modelling New'!$D:$D,'Modelling New'!W:W),"")</f>
        <v>0.16193472334300082</v>
      </c>
      <c r="AG251" s="137">
        <f>IFERROR(_xlfn.XLOOKUP($D251,'Modelling New'!$D:$D,'Modelling New'!AE:AE),"")</f>
        <v>0.98040000000000005</v>
      </c>
      <c r="AH251" s="156">
        <f>IFERROR(_xlfn.XLOOKUP($D251,'Modelling New'!$D:$D,'Modelling New'!AF:AF),"")</f>
        <v>0.98</v>
      </c>
      <c r="AN251" s="134"/>
      <c r="AO251" s="137"/>
      <c r="AP251" s="137"/>
      <c r="AQ251" s="137"/>
      <c r="AR251" s="130">
        <f>'Basic Data'!$B$98/1000</f>
        <v>8.0208999999999993</v>
      </c>
    </row>
    <row r="252" spans="1:44" x14ac:dyDescent="0.3">
      <c r="A252" s="129">
        <f t="shared" si="19"/>
        <v>45995</v>
      </c>
      <c r="B252" s="130">
        <f>YEAR(Table13[[#This Row],[Date]])+IF(MONTH(Table13[[#This Row],[Date]])&gt;=4,1,0)</f>
        <v>2026</v>
      </c>
      <c r="C252" s="7">
        <f>YEAR(Table13[[#This Row],[Date]])</f>
        <v>2025</v>
      </c>
      <c r="D252" s="131">
        <f>Table13[[#This Row],[Date]]-DAY(Table13[[#This Row],[Date]])+1</f>
        <v>45992</v>
      </c>
      <c r="E252" s="7">
        <f t="shared" si="16"/>
        <v>31</v>
      </c>
      <c r="F252" s="132" t="str">
        <f>IFERROR(_xlfn.XLOOKUP($A252,'Raw Data'!$G:$G,'Raw Data'!$AM:$AM),"")</f>
        <v/>
      </c>
      <c r="G252" s="133" t="str">
        <f>IFERROR(_xlfn.XLOOKUP($A252,'Raw Data'!$G:$G,'Raw Data'!$AB:$AB),"")</f>
        <v/>
      </c>
      <c r="H252" s="133"/>
      <c r="I252" s="133" t="str">
        <f>IFERROR(_xlfn.XLOOKUP($A252,'Raw Data'!$G:$G,'Raw Data'!$AC:$AC),"")</f>
        <v/>
      </c>
      <c r="J252" s="133"/>
      <c r="K252" s="133" t="str">
        <f>IFERROR(_xlfn.XLOOKUP($A252,'Raw Data'!$G:$G,'Raw Data'!AD:AD),"")</f>
        <v/>
      </c>
      <c r="L252" s="133" t="str">
        <f>IFERROR(_xlfn.XLOOKUP($A252,'Raw Data'!$G:$G,'Raw Data'!AE:AE),"")</f>
        <v/>
      </c>
      <c r="M252" s="133" t="str">
        <f>IFERROR(_xlfn.XLOOKUP($A252,'Raw Data'!$G:$G,'Raw Data'!AF:AF),"")</f>
        <v/>
      </c>
      <c r="N252" s="133" t="str">
        <f>IFERROR(_xlfn.XLOOKUP($A252,'Raw Data'!$G:$G,'Raw Data'!AG:AG),"")</f>
        <v/>
      </c>
      <c r="O252" s="134" t="str">
        <f>IFERROR(1-SUMIF('Plant BD'!$H:$H,$A252,'Plant BD'!$AE:$AE)/($AA252+SUMIF('Plant BD'!$H:$H,$A252,'Plant BD'!$AE:$AE)),"")</f>
        <v/>
      </c>
      <c r="P252" s="134"/>
      <c r="Q252" s="135"/>
      <c r="R252" s="134" t="str">
        <f>IFERROR(1-SUMIF('Grid BD'!$H:$H,$A252,'Grid BD'!$AD:$AD)/($AA252+SUMIF('Grid BD'!$H:$H,$A252,'Grid BD'!$AD:$AD)),"")</f>
        <v/>
      </c>
      <c r="T252" s="135"/>
      <c r="U252" s="136" t="str">
        <f t="shared" si="17"/>
        <v/>
      </c>
      <c r="V252" s="136"/>
      <c r="W252" s="137" t="str">
        <f t="shared" si="18"/>
        <v/>
      </c>
      <c r="X252" s="130" t="str">
        <f>IFERROR(_xlfn.XLOOKUP($A252,'Raw Data'!$G:$G,'Raw Data'!AI:AI),"")</f>
        <v/>
      </c>
      <c r="Y252" s="130" t="str">
        <f>IFERROR(_xlfn.XLOOKUP($A252,'Raw Data'!$G:$G,'Raw Data'!AJ:AJ),"")</f>
        <v/>
      </c>
      <c r="Z252" s="130" t="str">
        <f>IFERROR(_xlfn.XLOOKUP($A252,'Raw Data'!$G:$G,'Raw Data'!AK:AK),"")</f>
        <v/>
      </c>
      <c r="AA252" s="130" t="str">
        <f>IFERROR(_xlfn.XLOOKUP($A252,'Raw Data'!$G:$G,'Raw Data'!AL:AL),"")</f>
        <v/>
      </c>
      <c r="AB252" s="130" t="str">
        <f>IFERROR(_xlfn.XLOOKUP($A252,'Raw Data'!$G:$G,'Raw Data'!H:H),"")</f>
        <v/>
      </c>
      <c r="AC252" s="76">
        <f>IFERROR(_xlfn.XLOOKUP($D252,'Modelling New'!$D:$D,'Modelling New'!P:P),"")</f>
        <v>5.2806451612903222</v>
      </c>
      <c r="AD252" s="130">
        <f>IFERROR(_xlfn.XLOOKUP($D252,'Modelling New'!$D:$D,'Modelling New'!$T:$T)*1000,"")</f>
        <v>31172.693339085006</v>
      </c>
      <c r="AE252" s="138">
        <f>IFERROR(_xlfn.XLOOKUP($D252,'Modelling New'!$D:$D,'Modelling New'!O:O),"")</f>
        <v>0.73597699552347362</v>
      </c>
      <c r="AF252" s="137">
        <f>IFERROR(_xlfn.XLOOKUP($D252,'Modelling New'!$D:$D,'Modelling New'!W:W),"")</f>
        <v>0.16193472334300082</v>
      </c>
      <c r="AG252" s="137">
        <f>IFERROR(_xlfn.XLOOKUP($D252,'Modelling New'!$D:$D,'Modelling New'!AE:AE),"")</f>
        <v>0.98040000000000005</v>
      </c>
      <c r="AH252" s="156">
        <f>IFERROR(_xlfn.XLOOKUP($D252,'Modelling New'!$D:$D,'Modelling New'!AF:AF),"")</f>
        <v>0.98</v>
      </c>
      <c r="AN252" s="134"/>
      <c r="AO252" s="137"/>
      <c r="AP252" s="137"/>
      <c r="AQ252" s="137"/>
      <c r="AR252" s="130">
        <f>'Basic Data'!$B$98/1000</f>
        <v>8.0208999999999993</v>
      </c>
    </row>
    <row r="253" spans="1:44" x14ac:dyDescent="0.3">
      <c r="A253" s="129">
        <f t="shared" si="19"/>
        <v>45996</v>
      </c>
      <c r="B253" s="130">
        <f>YEAR(Table13[[#This Row],[Date]])+IF(MONTH(Table13[[#This Row],[Date]])&gt;=4,1,0)</f>
        <v>2026</v>
      </c>
      <c r="C253" s="7">
        <f>YEAR(Table13[[#This Row],[Date]])</f>
        <v>2025</v>
      </c>
      <c r="D253" s="131">
        <f>Table13[[#This Row],[Date]]-DAY(Table13[[#This Row],[Date]])+1</f>
        <v>45992</v>
      </c>
      <c r="E253" s="7">
        <f t="shared" si="16"/>
        <v>31</v>
      </c>
      <c r="F253" s="132" t="str">
        <f>IFERROR(_xlfn.XLOOKUP($A253,'Raw Data'!$G:$G,'Raw Data'!$AM:$AM),"")</f>
        <v/>
      </c>
      <c r="G253" s="133" t="str">
        <f>IFERROR(_xlfn.XLOOKUP($A253,'Raw Data'!$G:$G,'Raw Data'!$AB:$AB),"")</f>
        <v/>
      </c>
      <c r="H253" s="133"/>
      <c r="I253" s="133" t="str">
        <f>IFERROR(_xlfn.XLOOKUP($A253,'Raw Data'!$G:$G,'Raw Data'!$AC:$AC),"")</f>
        <v/>
      </c>
      <c r="J253" s="133"/>
      <c r="K253" s="133" t="str">
        <f>IFERROR(_xlfn.XLOOKUP($A253,'Raw Data'!$G:$G,'Raw Data'!AD:AD),"")</f>
        <v/>
      </c>
      <c r="L253" s="133" t="str">
        <f>IFERROR(_xlfn.XLOOKUP($A253,'Raw Data'!$G:$G,'Raw Data'!AE:AE),"")</f>
        <v/>
      </c>
      <c r="M253" s="133" t="str">
        <f>IFERROR(_xlfn.XLOOKUP($A253,'Raw Data'!$G:$G,'Raw Data'!AF:AF),"")</f>
        <v/>
      </c>
      <c r="N253" s="133" t="str">
        <f>IFERROR(_xlfn.XLOOKUP($A253,'Raw Data'!$G:$G,'Raw Data'!AG:AG),"")</f>
        <v/>
      </c>
      <c r="O253" s="134" t="str">
        <f>IFERROR(1-SUMIF('Plant BD'!$H:$H,$A253,'Plant BD'!$AE:$AE)/($AA253+SUMIF('Plant BD'!$H:$H,$A253,'Plant BD'!$AE:$AE)),"")</f>
        <v/>
      </c>
      <c r="P253" s="134"/>
      <c r="Q253" s="135"/>
      <c r="R253" s="134" t="str">
        <f>IFERROR(1-SUMIF('Grid BD'!$H:$H,$A253,'Grid BD'!$AD:$AD)/($AA253+SUMIF('Grid BD'!$H:$H,$A253,'Grid BD'!$AD:$AD)),"")</f>
        <v/>
      </c>
      <c r="T253" s="135"/>
      <c r="U253" s="136" t="str">
        <f t="shared" si="17"/>
        <v/>
      </c>
      <c r="V253" s="136"/>
      <c r="W253" s="137" t="str">
        <f t="shared" si="18"/>
        <v/>
      </c>
      <c r="X253" s="130" t="str">
        <f>IFERROR(_xlfn.XLOOKUP($A253,'Raw Data'!$G:$G,'Raw Data'!AI:AI),"")</f>
        <v/>
      </c>
      <c r="Y253" s="130" t="str">
        <f>IFERROR(_xlfn.XLOOKUP($A253,'Raw Data'!$G:$G,'Raw Data'!AJ:AJ),"")</f>
        <v/>
      </c>
      <c r="Z253" s="130" t="str">
        <f>IFERROR(_xlfn.XLOOKUP($A253,'Raw Data'!$G:$G,'Raw Data'!AK:AK),"")</f>
        <v/>
      </c>
      <c r="AA253" s="130" t="str">
        <f>IFERROR(_xlfn.XLOOKUP($A253,'Raw Data'!$G:$G,'Raw Data'!AL:AL),"")</f>
        <v/>
      </c>
      <c r="AB253" s="130" t="str">
        <f>IFERROR(_xlfn.XLOOKUP($A253,'Raw Data'!$G:$G,'Raw Data'!H:H),"")</f>
        <v/>
      </c>
      <c r="AC253" s="76">
        <f>IFERROR(_xlfn.XLOOKUP($D253,'Modelling New'!$D:$D,'Modelling New'!P:P),"")</f>
        <v>5.2806451612903222</v>
      </c>
      <c r="AD253" s="130">
        <f>IFERROR(_xlfn.XLOOKUP($D253,'Modelling New'!$D:$D,'Modelling New'!$T:$T)*1000,"")</f>
        <v>31172.693339085006</v>
      </c>
      <c r="AE253" s="138">
        <f>IFERROR(_xlfn.XLOOKUP($D253,'Modelling New'!$D:$D,'Modelling New'!O:O),"")</f>
        <v>0.73597699552347362</v>
      </c>
      <c r="AF253" s="137">
        <f>IFERROR(_xlfn.XLOOKUP($D253,'Modelling New'!$D:$D,'Modelling New'!W:W),"")</f>
        <v>0.16193472334300082</v>
      </c>
      <c r="AG253" s="137">
        <f>IFERROR(_xlfn.XLOOKUP($D253,'Modelling New'!$D:$D,'Modelling New'!AE:AE),"")</f>
        <v>0.98040000000000005</v>
      </c>
      <c r="AH253" s="156">
        <f>IFERROR(_xlfn.XLOOKUP($D253,'Modelling New'!$D:$D,'Modelling New'!AF:AF),"")</f>
        <v>0.98</v>
      </c>
      <c r="AN253" s="134"/>
      <c r="AO253" s="137"/>
      <c r="AP253" s="137"/>
      <c r="AQ253" s="137"/>
      <c r="AR253" s="130">
        <f>'Basic Data'!$B$98/1000</f>
        <v>8.0208999999999993</v>
      </c>
    </row>
    <row r="254" spans="1:44" x14ac:dyDescent="0.3">
      <c r="A254" s="129">
        <f t="shared" si="19"/>
        <v>45997</v>
      </c>
      <c r="B254" s="130">
        <f>YEAR(Table13[[#This Row],[Date]])+IF(MONTH(Table13[[#This Row],[Date]])&gt;=4,1,0)</f>
        <v>2026</v>
      </c>
      <c r="C254" s="7">
        <f>YEAR(Table13[[#This Row],[Date]])</f>
        <v>2025</v>
      </c>
      <c r="D254" s="131">
        <f>Table13[[#This Row],[Date]]-DAY(Table13[[#This Row],[Date]])+1</f>
        <v>45992</v>
      </c>
      <c r="E254" s="7">
        <f t="shared" si="16"/>
        <v>31</v>
      </c>
      <c r="F254" s="132" t="str">
        <f>IFERROR(_xlfn.XLOOKUP($A254,'Raw Data'!$G:$G,'Raw Data'!$AM:$AM),"")</f>
        <v/>
      </c>
      <c r="G254" s="133" t="str">
        <f>IFERROR(_xlfn.XLOOKUP($A254,'Raw Data'!$G:$G,'Raw Data'!$AB:$AB),"")</f>
        <v/>
      </c>
      <c r="H254" s="133"/>
      <c r="I254" s="133" t="str">
        <f>IFERROR(_xlfn.XLOOKUP($A254,'Raw Data'!$G:$G,'Raw Data'!$AC:$AC),"")</f>
        <v/>
      </c>
      <c r="J254" s="133"/>
      <c r="K254" s="133" t="str">
        <f>IFERROR(_xlfn.XLOOKUP($A254,'Raw Data'!$G:$G,'Raw Data'!AD:AD),"")</f>
        <v/>
      </c>
      <c r="L254" s="133" t="str">
        <f>IFERROR(_xlfn.XLOOKUP($A254,'Raw Data'!$G:$G,'Raw Data'!AE:AE),"")</f>
        <v/>
      </c>
      <c r="M254" s="133" t="str">
        <f>IFERROR(_xlfn.XLOOKUP($A254,'Raw Data'!$G:$G,'Raw Data'!AF:AF),"")</f>
        <v/>
      </c>
      <c r="N254" s="133" t="str">
        <f>IFERROR(_xlfn.XLOOKUP($A254,'Raw Data'!$G:$G,'Raw Data'!AG:AG),"")</f>
        <v/>
      </c>
      <c r="O254" s="134" t="str">
        <f>IFERROR(1-SUMIF('Plant BD'!$H:$H,$A254,'Plant BD'!$AE:$AE)/($AA254+SUMIF('Plant BD'!$H:$H,$A254,'Plant BD'!$AE:$AE)),"")</f>
        <v/>
      </c>
      <c r="P254" s="134"/>
      <c r="Q254" s="135"/>
      <c r="R254" s="134" t="str">
        <f>IFERROR(1-SUMIF('Grid BD'!$H:$H,$A254,'Grid BD'!$AD:$AD)/($AA254+SUMIF('Grid BD'!$H:$H,$A254,'Grid BD'!$AD:$AD)),"")</f>
        <v/>
      </c>
      <c r="T254" s="135"/>
      <c r="U254" s="136" t="str">
        <f t="shared" si="17"/>
        <v/>
      </c>
      <c r="V254" s="136"/>
      <c r="W254" s="137" t="str">
        <f t="shared" si="18"/>
        <v/>
      </c>
      <c r="X254" s="130" t="str">
        <f>IFERROR(_xlfn.XLOOKUP($A254,'Raw Data'!$G:$G,'Raw Data'!AI:AI),"")</f>
        <v/>
      </c>
      <c r="Y254" s="130" t="str">
        <f>IFERROR(_xlfn.XLOOKUP($A254,'Raw Data'!$G:$G,'Raw Data'!AJ:AJ),"")</f>
        <v/>
      </c>
      <c r="Z254" s="130" t="str">
        <f>IFERROR(_xlfn.XLOOKUP($A254,'Raw Data'!$G:$G,'Raw Data'!AK:AK),"")</f>
        <v/>
      </c>
      <c r="AA254" s="130" t="str">
        <f>IFERROR(_xlfn.XLOOKUP($A254,'Raw Data'!$G:$G,'Raw Data'!AL:AL),"")</f>
        <v/>
      </c>
      <c r="AB254" s="130" t="str">
        <f>IFERROR(_xlfn.XLOOKUP($A254,'Raw Data'!$G:$G,'Raw Data'!H:H),"")</f>
        <v/>
      </c>
      <c r="AC254" s="76">
        <f>IFERROR(_xlfn.XLOOKUP($D254,'Modelling New'!$D:$D,'Modelling New'!P:P),"")</f>
        <v>5.2806451612903222</v>
      </c>
      <c r="AD254" s="130">
        <f>IFERROR(_xlfn.XLOOKUP($D254,'Modelling New'!$D:$D,'Modelling New'!$T:$T)*1000,"")</f>
        <v>31172.693339085006</v>
      </c>
      <c r="AE254" s="138">
        <f>IFERROR(_xlfn.XLOOKUP($D254,'Modelling New'!$D:$D,'Modelling New'!O:O),"")</f>
        <v>0.73597699552347362</v>
      </c>
      <c r="AF254" s="137">
        <f>IFERROR(_xlfn.XLOOKUP($D254,'Modelling New'!$D:$D,'Modelling New'!W:W),"")</f>
        <v>0.16193472334300082</v>
      </c>
      <c r="AG254" s="137">
        <f>IFERROR(_xlfn.XLOOKUP($D254,'Modelling New'!$D:$D,'Modelling New'!AE:AE),"")</f>
        <v>0.98040000000000005</v>
      </c>
      <c r="AH254" s="156">
        <f>IFERROR(_xlfn.XLOOKUP($D254,'Modelling New'!$D:$D,'Modelling New'!AF:AF),"")</f>
        <v>0.98</v>
      </c>
      <c r="AN254" s="134"/>
      <c r="AO254" s="137"/>
      <c r="AP254" s="137"/>
      <c r="AQ254" s="137"/>
      <c r="AR254" s="130">
        <f>'Basic Data'!$B$98/1000</f>
        <v>8.0208999999999993</v>
      </c>
    </row>
    <row r="255" spans="1:44" x14ac:dyDescent="0.3">
      <c r="A255" s="129">
        <f t="shared" si="19"/>
        <v>45998</v>
      </c>
      <c r="B255" s="130">
        <f>YEAR(Table13[[#This Row],[Date]])+IF(MONTH(Table13[[#This Row],[Date]])&gt;=4,1,0)</f>
        <v>2026</v>
      </c>
      <c r="C255" s="7">
        <f>YEAR(Table13[[#This Row],[Date]])</f>
        <v>2025</v>
      </c>
      <c r="D255" s="131">
        <f>Table13[[#This Row],[Date]]-DAY(Table13[[#This Row],[Date]])+1</f>
        <v>45992</v>
      </c>
      <c r="E255" s="7">
        <f t="shared" si="16"/>
        <v>31</v>
      </c>
      <c r="F255" s="132" t="str">
        <f>IFERROR(_xlfn.XLOOKUP($A255,'Raw Data'!$G:$G,'Raw Data'!$AM:$AM),"")</f>
        <v/>
      </c>
      <c r="G255" s="133" t="str">
        <f>IFERROR(_xlfn.XLOOKUP($A255,'Raw Data'!$G:$G,'Raw Data'!$AB:$AB),"")</f>
        <v/>
      </c>
      <c r="H255" s="133"/>
      <c r="I255" s="133" t="str">
        <f>IFERROR(_xlfn.XLOOKUP($A255,'Raw Data'!$G:$G,'Raw Data'!$AC:$AC),"")</f>
        <v/>
      </c>
      <c r="J255" s="133"/>
      <c r="K255" s="133" t="str">
        <f>IFERROR(_xlfn.XLOOKUP($A255,'Raw Data'!$G:$G,'Raw Data'!AD:AD),"")</f>
        <v/>
      </c>
      <c r="L255" s="133" t="str">
        <f>IFERROR(_xlfn.XLOOKUP($A255,'Raw Data'!$G:$G,'Raw Data'!AE:AE),"")</f>
        <v/>
      </c>
      <c r="M255" s="133" t="str">
        <f>IFERROR(_xlfn.XLOOKUP($A255,'Raw Data'!$G:$G,'Raw Data'!AF:AF),"")</f>
        <v/>
      </c>
      <c r="N255" s="133" t="str">
        <f>IFERROR(_xlfn.XLOOKUP($A255,'Raw Data'!$G:$G,'Raw Data'!AG:AG),"")</f>
        <v/>
      </c>
      <c r="O255" s="134" t="str">
        <f>IFERROR(1-SUMIF('Plant BD'!$H:$H,$A255,'Plant BD'!$AE:$AE)/($AA255+SUMIF('Plant BD'!$H:$H,$A255,'Plant BD'!$AE:$AE)),"")</f>
        <v/>
      </c>
      <c r="P255" s="134"/>
      <c r="Q255" s="135"/>
      <c r="R255" s="134" t="str">
        <f>IFERROR(1-SUMIF('Grid BD'!$H:$H,$A255,'Grid BD'!$AD:$AD)/($AA255+SUMIF('Grid BD'!$H:$H,$A255,'Grid BD'!$AD:$AD)),"")</f>
        <v/>
      </c>
      <c r="T255" s="135"/>
      <c r="U255" s="136" t="str">
        <f t="shared" si="17"/>
        <v/>
      </c>
      <c r="V255" s="136"/>
      <c r="W255" s="137" t="str">
        <f t="shared" si="18"/>
        <v/>
      </c>
      <c r="X255" s="130" t="str">
        <f>IFERROR(_xlfn.XLOOKUP($A255,'Raw Data'!$G:$G,'Raw Data'!AI:AI),"")</f>
        <v/>
      </c>
      <c r="Y255" s="130" t="str">
        <f>IFERROR(_xlfn.XLOOKUP($A255,'Raw Data'!$G:$G,'Raw Data'!AJ:AJ),"")</f>
        <v/>
      </c>
      <c r="Z255" s="130" t="str">
        <f>IFERROR(_xlfn.XLOOKUP($A255,'Raw Data'!$G:$G,'Raw Data'!AK:AK),"")</f>
        <v/>
      </c>
      <c r="AA255" s="130" t="str">
        <f>IFERROR(_xlfn.XLOOKUP($A255,'Raw Data'!$G:$G,'Raw Data'!AL:AL),"")</f>
        <v/>
      </c>
      <c r="AB255" s="130" t="str">
        <f>IFERROR(_xlfn.XLOOKUP($A255,'Raw Data'!$G:$G,'Raw Data'!H:H),"")</f>
        <v/>
      </c>
      <c r="AC255" s="76">
        <f>IFERROR(_xlfn.XLOOKUP($D255,'Modelling New'!$D:$D,'Modelling New'!P:P),"")</f>
        <v>5.2806451612903222</v>
      </c>
      <c r="AD255" s="130">
        <f>IFERROR(_xlfn.XLOOKUP($D255,'Modelling New'!$D:$D,'Modelling New'!$T:$T)*1000,"")</f>
        <v>31172.693339085006</v>
      </c>
      <c r="AE255" s="138">
        <f>IFERROR(_xlfn.XLOOKUP($D255,'Modelling New'!$D:$D,'Modelling New'!O:O),"")</f>
        <v>0.73597699552347362</v>
      </c>
      <c r="AF255" s="137">
        <f>IFERROR(_xlfn.XLOOKUP($D255,'Modelling New'!$D:$D,'Modelling New'!W:W),"")</f>
        <v>0.16193472334300082</v>
      </c>
      <c r="AG255" s="137">
        <f>IFERROR(_xlfn.XLOOKUP($D255,'Modelling New'!$D:$D,'Modelling New'!AE:AE),"")</f>
        <v>0.98040000000000005</v>
      </c>
      <c r="AH255" s="156">
        <f>IFERROR(_xlfn.XLOOKUP($D255,'Modelling New'!$D:$D,'Modelling New'!AF:AF),"")</f>
        <v>0.98</v>
      </c>
      <c r="AN255" s="134"/>
      <c r="AO255" s="137"/>
      <c r="AP255" s="137"/>
      <c r="AQ255" s="137"/>
      <c r="AR255" s="130">
        <f>'Basic Data'!$B$98/1000</f>
        <v>8.0208999999999993</v>
      </c>
    </row>
    <row r="256" spans="1:44" x14ac:dyDescent="0.3">
      <c r="A256" s="129">
        <f t="shared" si="19"/>
        <v>45999</v>
      </c>
      <c r="B256" s="130">
        <f>YEAR(Table13[[#This Row],[Date]])+IF(MONTH(Table13[[#This Row],[Date]])&gt;=4,1,0)</f>
        <v>2026</v>
      </c>
      <c r="C256" s="7">
        <f>YEAR(Table13[[#This Row],[Date]])</f>
        <v>2025</v>
      </c>
      <c r="D256" s="131">
        <f>Table13[[#This Row],[Date]]-DAY(Table13[[#This Row],[Date]])+1</f>
        <v>45992</v>
      </c>
      <c r="E256" s="7">
        <f t="shared" si="16"/>
        <v>31</v>
      </c>
      <c r="F256" s="132" t="str">
        <f>IFERROR(_xlfn.XLOOKUP($A256,'Raw Data'!$G:$G,'Raw Data'!$AM:$AM),"")</f>
        <v/>
      </c>
      <c r="G256" s="133" t="str">
        <f>IFERROR(_xlfn.XLOOKUP($A256,'Raw Data'!$G:$G,'Raw Data'!$AB:$AB),"")</f>
        <v/>
      </c>
      <c r="H256" s="133"/>
      <c r="I256" s="133" t="str">
        <f>IFERROR(_xlfn.XLOOKUP($A256,'Raw Data'!$G:$G,'Raw Data'!$AC:$AC),"")</f>
        <v/>
      </c>
      <c r="J256" s="133"/>
      <c r="K256" s="133" t="str">
        <f>IFERROR(_xlfn.XLOOKUP($A256,'Raw Data'!$G:$G,'Raw Data'!AD:AD),"")</f>
        <v/>
      </c>
      <c r="L256" s="133" t="str">
        <f>IFERROR(_xlfn.XLOOKUP($A256,'Raw Data'!$G:$G,'Raw Data'!AE:AE),"")</f>
        <v/>
      </c>
      <c r="M256" s="133" t="str">
        <f>IFERROR(_xlfn.XLOOKUP($A256,'Raw Data'!$G:$G,'Raw Data'!AF:AF),"")</f>
        <v/>
      </c>
      <c r="N256" s="133" t="str">
        <f>IFERROR(_xlfn.XLOOKUP($A256,'Raw Data'!$G:$G,'Raw Data'!AG:AG),"")</f>
        <v/>
      </c>
      <c r="O256" s="134" t="str">
        <f>IFERROR(1-SUMIF('Plant BD'!$H:$H,$A256,'Plant BD'!$AE:$AE)/($AA256+SUMIF('Plant BD'!$H:$H,$A256,'Plant BD'!$AE:$AE)),"")</f>
        <v/>
      </c>
      <c r="P256" s="134"/>
      <c r="Q256" s="135"/>
      <c r="R256" s="134" t="str">
        <f>IFERROR(1-SUMIF('Grid BD'!$H:$H,$A256,'Grid BD'!$AD:$AD)/($AA256+SUMIF('Grid BD'!$H:$H,$A256,'Grid BD'!$AD:$AD)),"")</f>
        <v/>
      </c>
      <c r="T256" s="135"/>
      <c r="U256" s="136" t="str">
        <f t="shared" si="17"/>
        <v/>
      </c>
      <c r="V256" s="136"/>
      <c r="W256" s="137" t="str">
        <f t="shared" si="18"/>
        <v/>
      </c>
      <c r="X256" s="130" t="str">
        <f>IFERROR(_xlfn.XLOOKUP($A256,'Raw Data'!$G:$G,'Raw Data'!AI:AI),"")</f>
        <v/>
      </c>
      <c r="Y256" s="130" t="str">
        <f>IFERROR(_xlfn.XLOOKUP($A256,'Raw Data'!$G:$G,'Raw Data'!AJ:AJ),"")</f>
        <v/>
      </c>
      <c r="Z256" s="130" t="str">
        <f>IFERROR(_xlfn.XLOOKUP($A256,'Raw Data'!$G:$G,'Raw Data'!AK:AK),"")</f>
        <v/>
      </c>
      <c r="AA256" s="130" t="str">
        <f>IFERROR(_xlfn.XLOOKUP($A256,'Raw Data'!$G:$G,'Raw Data'!AL:AL),"")</f>
        <v/>
      </c>
      <c r="AB256" s="130" t="str">
        <f>IFERROR(_xlfn.XLOOKUP($A256,'Raw Data'!$G:$G,'Raw Data'!H:H),"")</f>
        <v/>
      </c>
      <c r="AC256" s="76">
        <f>IFERROR(_xlfn.XLOOKUP($D256,'Modelling New'!$D:$D,'Modelling New'!P:P),"")</f>
        <v>5.2806451612903222</v>
      </c>
      <c r="AD256" s="130">
        <f>IFERROR(_xlfn.XLOOKUP($D256,'Modelling New'!$D:$D,'Modelling New'!$T:$T)*1000,"")</f>
        <v>31172.693339085006</v>
      </c>
      <c r="AE256" s="138">
        <f>IFERROR(_xlfn.XLOOKUP($D256,'Modelling New'!$D:$D,'Modelling New'!O:O),"")</f>
        <v>0.73597699552347362</v>
      </c>
      <c r="AF256" s="137">
        <f>IFERROR(_xlfn.XLOOKUP($D256,'Modelling New'!$D:$D,'Modelling New'!W:W),"")</f>
        <v>0.16193472334300082</v>
      </c>
      <c r="AG256" s="137">
        <f>IFERROR(_xlfn.XLOOKUP($D256,'Modelling New'!$D:$D,'Modelling New'!AE:AE),"")</f>
        <v>0.98040000000000005</v>
      </c>
      <c r="AH256" s="156">
        <f>IFERROR(_xlfn.XLOOKUP($D256,'Modelling New'!$D:$D,'Modelling New'!AF:AF),"")</f>
        <v>0.98</v>
      </c>
      <c r="AN256" s="134"/>
      <c r="AO256" s="137"/>
      <c r="AP256" s="137"/>
      <c r="AQ256" s="137"/>
      <c r="AR256" s="130">
        <f>'Basic Data'!$B$98/1000</f>
        <v>8.0208999999999993</v>
      </c>
    </row>
    <row r="257" spans="1:44" x14ac:dyDescent="0.3">
      <c r="A257" s="129">
        <f t="shared" si="19"/>
        <v>46000</v>
      </c>
      <c r="B257" s="130">
        <f>YEAR(Table13[[#This Row],[Date]])+IF(MONTH(Table13[[#This Row],[Date]])&gt;=4,1,0)</f>
        <v>2026</v>
      </c>
      <c r="C257" s="7">
        <f>YEAR(Table13[[#This Row],[Date]])</f>
        <v>2025</v>
      </c>
      <c r="D257" s="131">
        <f>Table13[[#This Row],[Date]]-DAY(Table13[[#This Row],[Date]])+1</f>
        <v>45992</v>
      </c>
      <c r="E257" s="7">
        <f t="shared" si="16"/>
        <v>31</v>
      </c>
      <c r="F257" s="132" t="str">
        <f>IFERROR(_xlfn.XLOOKUP($A257,'Raw Data'!$G:$G,'Raw Data'!$AM:$AM),"")</f>
        <v/>
      </c>
      <c r="G257" s="133" t="str">
        <f>IFERROR(_xlfn.XLOOKUP($A257,'Raw Data'!$G:$G,'Raw Data'!$AB:$AB),"")</f>
        <v/>
      </c>
      <c r="H257" s="133"/>
      <c r="I257" s="133" t="str">
        <f>IFERROR(_xlfn.XLOOKUP($A257,'Raw Data'!$G:$G,'Raw Data'!$AC:$AC),"")</f>
        <v/>
      </c>
      <c r="J257" s="133"/>
      <c r="K257" s="133" t="str">
        <f>IFERROR(_xlfn.XLOOKUP($A257,'Raw Data'!$G:$G,'Raw Data'!AD:AD),"")</f>
        <v/>
      </c>
      <c r="L257" s="133" t="str">
        <f>IFERROR(_xlfn.XLOOKUP($A257,'Raw Data'!$G:$G,'Raw Data'!AE:AE),"")</f>
        <v/>
      </c>
      <c r="M257" s="133" t="str">
        <f>IFERROR(_xlfn.XLOOKUP($A257,'Raw Data'!$G:$G,'Raw Data'!AF:AF),"")</f>
        <v/>
      </c>
      <c r="N257" s="133" t="str">
        <f>IFERROR(_xlfn.XLOOKUP($A257,'Raw Data'!$G:$G,'Raw Data'!AG:AG),"")</f>
        <v/>
      </c>
      <c r="O257" s="134" t="str">
        <f>IFERROR(1-SUMIF('Plant BD'!$H:$H,$A257,'Plant BD'!$AE:$AE)/($AA257+SUMIF('Plant BD'!$H:$H,$A257,'Plant BD'!$AE:$AE)),"")</f>
        <v/>
      </c>
      <c r="P257" s="134"/>
      <c r="Q257" s="135"/>
      <c r="R257" s="134" t="str">
        <f>IFERROR(1-SUMIF('Grid BD'!$H:$H,$A257,'Grid BD'!$AD:$AD)/($AA257+SUMIF('Grid BD'!$H:$H,$A257,'Grid BD'!$AD:$AD)),"")</f>
        <v/>
      </c>
      <c r="T257" s="135"/>
      <c r="U257" s="136" t="str">
        <f t="shared" si="17"/>
        <v/>
      </c>
      <c r="V257" s="136"/>
      <c r="W257" s="137" t="str">
        <f t="shared" si="18"/>
        <v/>
      </c>
      <c r="X257" s="130" t="str">
        <f>IFERROR(_xlfn.XLOOKUP($A257,'Raw Data'!$G:$G,'Raw Data'!AI:AI),"")</f>
        <v/>
      </c>
      <c r="Y257" s="130" t="str">
        <f>IFERROR(_xlfn.XLOOKUP($A257,'Raw Data'!$G:$G,'Raw Data'!AJ:AJ),"")</f>
        <v/>
      </c>
      <c r="Z257" s="130" t="str">
        <f>IFERROR(_xlfn.XLOOKUP($A257,'Raw Data'!$G:$G,'Raw Data'!AK:AK),"")</f>
        <v/>
      </c>
      <c r="AA257" s="130" t="str">
        <f>IFERROR(_xlfn.XLOOKUP($A257,'Raw Data'!$G:$G,'Raw Data'!AL:AL),"")</f>
        <v/>
      </c>
      <c r="AB257" s="130" t="str">
        <f>IFERROR(_xlfn.XLOOKUP($A257,'Raw Data'!$G:$G,'Raw Data'!H:H),"")</f>
        <v/>
      </c>
      <c r="AC257" s="76">
        <f>IFERROR(_xlfn.XLOOKUP($D257,'Modelling New'!$D:$D,'Modelling New'!P:P),"")</f>
        <v>5.2806451612903222</v>
      </c>
      <c r="AD257" s="130">
        <f>IFERROR(_xlfn.XLOOKUP($D257,'Modelling New'!$D:$D,'Modelling New'!$T:$T)*1000,"")</f>
        <v>31172.693339085006</v>
      </c>
      <c r="AE257" s="138">
        <f>IFERROR(_xlfn.XLOOKUP($D257,'Modelling New'!$D:$D,'Modelling New'!O:O),"")</f>
        <v>0.73597699552347362</v>
      </c>
      <c r="AF257" s="137">
        <f>IFERROR(_xlfn.XLOOKUP($D257,'Modelling New'!$D:$D,'Modelling New'!W:W),"")</f>
        <v>0.16193472334300082</v>
      </c>
      <c r="AG257" s="137">
        <f>IFERROR(_xlfn.XLOOKUP($D257,'Modelling New'!$D:$D,'Modelling New'!AE:AE),"")</f>
        <v>0.98040000000000005</v>
      </c>
      <c r="AH257" s="156">
        <f>IFERROR(_xlfn.XLOOKUP($D257,'Modelling New'!$D:$D,'Modelling New'!AF:AF),"")</f>
        <v>0.98</v>
      </c>
      <c r="AN257" s="134"/>
      <c r="AO257" s="137"/>
      <c r="AP257" s="137"/>
      <c r="AQ257" s="137"/>
      <c r="AR257" s="130">
        <f>'Basic Data'!$B$98/1000</f>
        <v>8.0208999999999993</v>
      </c>
    </row>
    <row r="258" spans="1:44" x14ac:dyDescent="0.3">
      <c r="A258" s="129">
        <f t="shared" si="19"/>
        <v>46001</v>
      </c>
      <c r="B258" s="130">
        <f>YEAR(Table13[[#This Row],[Date]])+IF(MONTH(Table13[[#This Row],[Date]])&gt;=4,1,0)</f>
        <v>2026</v>
      </c>
      <c r="C258" s="7">
        <f>YEAR(Table13[[#This Row],[Date]])</f>
        <v>2025</v>
      </c>
      <c r="D258" s="131">
        <f>Table13[[#This Row],[Date]]-DAY(Table13[[#This Row],[Date]])+1</f>
        <v>45992</v>
      </c>
      <c r="E258" s="7">
        <f t="shared" si="16"/>
        <v>31</v>
      </c>
      <c r="F258" s="132" t="str">
        <f>IFERROR(_xlfn.XLOOKUP($A258,'Raw Data'!$G:$G,'Raw Data'!$AM:$AM),"")</f>
        <v/>
      </c>
      <c r="G258" s="133" t="str">
        <f>IFERROR(_xlfn.XLOOKUP($A258,'Raw Data'!$G:$G,'Raw Data'!$AB:$AB),"")</f>
        <v/>
      </c>
      <c r="H258" s="133"/>
      <c r="I258" s="133" t="str">
        <f>IFERROR(_xlfn.XLOOKUP($A258,'Raw Data'!$G:$G,'Raw Data'!$AC:$AC),"")</f>
        <v/>
      </c>
      <c r="J258" s="133"/>
      <c r="K258" s="133" t="str">
        <f>IFERROR(_xlfn.XLOOKUP($A258,'Raw Data'!$G:$G,'Raw Data'!AD:AD),"")</f>
        <v/>
      </c>
      <c r="L258" s="133" t="str">
        <f>IFERROR(_xlfn.XLOOKUP($A258,'Raw Data'!$G:$G,'Raw Data'!AE:AE),"")</f>
        <v/>
      </c>
      <c r="M258" s="133" t="str">
        <f>IFERROR(_xlfn.XLOOKUP($A258,'Raw Data'!$G:$G,'Raw Data'!AF:AF),"")</f>
        <v/>
      </c>
      <c r="N258" s="133" t="str">
        <f>IFERROR(_xlfn.XLOOKUP($A258,'Raw Data'!$G:$G,'Raw Data'!AG:AG),"")</f>
        <v/>
      </c>
      <c r="O258" s="134" t="str">
        <f>IFERROR(1-SUMIF('Plant BD'!$H:$H,$A258,'Plant BD'!$AE:$AE)/($AA258+SUMIF('Plant BD'!$H:$H,$A258,'Plant BD'!$AE:$AE)),"")</f>
        <v/>
      </c>
      <c r="P258" s="134"/>
      <c r="Q258" s="135"/>
      <c r="R258" s="134" t="str">
        <f>IFERROR(1-SUMIF('Grid BD'!$H:$H,$A258,'Grid BD'!$AD:$AD)/($AA258+SUMIF('Grid BD'!$H:$H,$A258,'Grid BD'!$AD:$AD)),"")</f>
        <v/>
      </c>
      <c r="T258" s="135"/>
      <c r="U258" s="136" t="str">
        <f t="shared" si="17"/>
        <v/>
      </c>
      <c r="V258" s="136"/>
      <c r="W258" s="137" t="str">
        <f t="shared" si="18"/>
        <v/>
      </c>
      <c r="X258" s="130" t="str">
        <f>IFERROR(_xlfn.XLOOKUP($A258,'Raw Data'!$G:$G,'Raw Data'!AI:AI),"")</f>
        <v/>
      </c>
      <c r="Y258" s="130" t="str">
        <f>IFERROR(_xlfn.XLOOKUP($A258,'Raw Data'!$G:$G,'Raw Data'!AJ:AJ),"")</f>
        <v/>
      </c>
      <c r="Z258" s="130" t="str">
        <f>IFERROR(_xlfn.XLOOKUP($A258,'Raw Data'!$G:$G,'Raw Data'!AK:AK),"")</f>
        <v/>
      </c>
      <c r="AA258" s="130" t="str">
        <f>IFERROR(_xlfn.XLOOKUP($A258,'Raw Data'!$G:$G,'Raw Data'!AL:AL),"")</f>
        <v/>
      </c>
      <c r="AB258" s="130" t="str">
        <f>IFERROR(_xlfn.XLOOKUP($A258,'Raw Data'!$G:$G,'Raw Data'!H:H),"")</f>
        <v/>
      </c>
      <c r="AC258" s="76">
        <f>IFERROR(_xlfn.XLOOKUP($D258,'Modelling New'!$D:$D,'Modelling New'!P:P),"")</f>
        <v>5.2806451612903222</v>
      </c>
      <c r="AD258" s="130">
        <f>IFERROR(_xlfn.XLOOKUP($D258,'Modelling New'!$D:$D,'Modelling New'!$T:$T)*1000,"")</f>
        <v>31172.693339085006</v>
      </c>
      <c r="AE258" s="138">
        <f>IFERROR(_xlfn.XLOOKUP($D258,'Modelling New'!$D:$D,'Modelling New'!O:O),"")</f>
        <v>0.73597699552347362</v>
      </c>
      <c r="AF258" s="137">
        <f>IFERROR(_xlfn.XLOOKUP($D258,'Modelling New'!$D:$D,'Modelling New'!W:W),"")</f>
        <v>0.16193472334300082</v>
      </c>
      <c r="AG258" s="137">
        <f>IFERROR(_xlfn.XLOOKUP($D258,'Modelling New'!$D:$D,'Modelling New'!AE:AE),"")</f>
        <v>0.98040000000000005</v>
      </c>
      <c r="AH258" s="156">
        <f>IFERROR(_xlfn.XLOOKUP($D258,'Modelling New'!$D:$D,'Modelling New'!AF:AF),"")</f>
        <v>0.98</v>
      </c>
      <c r="AN258" s="134"/>
      <c r="AO258" s="137"/>
      <c r="AP258" s="137"/>
      <c r="AQ258" s="137"/>
      <c r="AR258" s="130">
        <f>'Basic Data'!$B$98/1000</f>
        <v>8.0208999999999993</v>
      </c>
    </row>
    <row r="259" spans="1:44" x14ac:dyDescent="0.3">
      <c r="A259" s="129">
        <f t="shared" si="19"/>
        <v>46002</v>
      </c>
      <c r="B259" s="130">
        <f>YEAR(Table13[[#This Row],[Date]])+IF(MONTH(Table13[[#This Row],[Date]])&gt;=4,1,0)</f>
        <v>2026</v>
      </c>
      <c r="C259" s="7">
        <f>YEAR(Table13[[#This Row],[Date]])</f>
        <v>2025</v>
      </c>
      <c r="D259" s="131">
        <f>Table13[[#This Row],[Date]]-DAY(Table13[[#This Row],[Date]])+1</f>
        <v>45992</v>
      </c>
      <c r="E259" s="7">
        <f t="shared" si="16"/>
        <v>31</v>
      </c>
      <c r="F259" s="132" t="str">
        <f>IFERROR(_xlfn.XLOOKUP($A259,'Raw Data'!$G:$G,'Raw Data'!$AM:$AM),"")</f>
        <v/>
      </c>
      <c r="G259" s="133" t="str">
        <f>IFERROR(_xlfn.XLOOKUP($A259,'Raw Data'!$G:$G,'Raw Data'!$AB:$AB),"")</f>
        <v/>
      </c>
      <c r="H259" s="133"/>
      <c r="I259" s="133" t="str">
        <f>IFERROR(_xlfn.XLOOKUP($A259,'Raw Data'!$G:$G,'Raw Data'!$AC:$AC),"")</f>
        <v/>
      </c>
      <c r="J259" s="133"/>
      <c r="K259" s="133" t="str">
        <f>IFERROR(_xlfn.XLOOKUP($A259,'Raw Data'!$G:$G,'Raw Data'!AD:AD),"")</f>
        <v/>
      </c>
      <c r="L259" s="133" t="str">
        <f>IFERROR(_xlfn.XLOOKUP($A259,'Raw Data'!$G:$G,'Raw Data'!AE:AE),"")</f>
        <v/>
      </c>
      <c r="M259" s="133" t="str">
        <f>IFERROR(_xlfn.XLOOKUP($A259,'Raw Data'!$G:$G,'Raw Data'!AF:AF),"")</f>
        <v/>
      </c>
      <c r="N259" s="133" t="str">
        <f>IFERROR(_xlfn.XLOOKUP($A259,'Raw Data'!$G:$G,'Raw Data'!AG:AG),"")</f>
        <v/>
      </c>
      <c r="O259" s="134" t="str">
        <f>IFERROR(1-SUMIF('Plant BD'!$H:$H,$A259,'Plant BD'!$AE:$AE)/($AA259+SUMIF('Plant BD'!$H:$H,$A259,'Plant BD'!$AE:$AE)),"")</f>
        <v/>
      </c>
      <c r="P259" s="134"/>
      <c r="Q259" s="135"/>
      <c r="R259" s="134" t="str">
        <f>IFERROR(1-SUMIF('Grid BD'!$H:$H,$A259,'Grid BD'!$AD:$AD)/($AA259+SUMIF('Grid BD'!$H:$H,$A259,'Grid BD'!$AD:$AD)),"")</f>
        <v/>
      </c>
      <c r="T259" s="135"/>
      <c r="U259" s="136" t="str">
        <f t="shared" si="17"/>
        <v/>
      </c>
      <c r="V259" s="136"/>
      <c r="W259" s="137" t="str">
        <f t="shared" si="18"/>
        <v/>
      </c>
      <c r="X259" s="130" t="str">
        <f>IFERROR(_xlfn.XLOOKUP($A259,'Raw Data'!$G:$G,'Raw Data'!AI:AI),"")</f>
        <v/>
      </c>
      <c r="Y259" s="130" t="str">
        <f>IFERROR(_xlfn.XLOOKUP($A259,'Raw Data'!$G:$G,'Raw Data'!AJ:AJ),"")</f>
        <v/>
      </c>
      <c r="Z259" s="130" t="str">
        <f>IFERROR(_xlfn.XLOOKUP($A259,'Raw Data'!$G:$G,'Raw Data'!AK:AK),"")</f>
        <v/>
      </c>
      <c r="AA259" s="130" t="str">
        <f>IFERROR(_xlfn.XLOOKUP($A259,'Raw Data'!$G:$G,'Raw Data'!AL:AL),"")</f>
        <v/>
      </c>
      <c r="AB259" s="130" t="str">
        <f>IFERROR(_xlfn.XLOOKUP($A259,'Raw Data'!$G:$G,'Raw Data'!H:H),"")</f>
        <v/>
      </c>
      <c r="AC259" s="76">
        <f>IFERROR(_xlfn.XLOOKUP($D259,'Modelling New'!$D:$D,'Modelling New'!P:P),"")</f>
        <v>5.2806451612903222</v>
      </c>
      <c r="AD259" s="130">
        <f>IFERROR(_xlfn.XLOOKUP($D259,'Modelling New'!$D:$D,'Modelling New'!$T:$T)*1000,"")</f>
        <v>31172.693339085006</v>
      </c>
      <c r="AE259" s="138">
        <f>IFERROR(_xlfn.XLOOKUP($D259,'Modelling New'!$D:$D,'Modelling New'!O:O),"")</f>
        <v>0.73597699552347362</v>
      </c>
      <c r="AF259" s="137">
        <f>IFERROR(_xlfn.XLOOKUP($D259,'Modelling New'!$D:$D,'Modelling New'!W:W),"")</f>
        <v>0.16193472334300082</v>
      </c>
      <c r="AG259" s="137">
        <f>IFERROR(_xlfn.XLOOKUP($D259,'Modelling New'!$D:$D,'Modelling New'!AE:AE),"")</f>
        <v>0.98040000000000005</v>
      </c>
      <c r="AH259" s="156">
        <f>IFERROR(_xlfn.XLOOKUP($D259,'Modelling New'!$D:$D,'Modelling New'!AF:AF),"")</f>
        <v>0.98</v>
      </c>
      <c r="AN259" s="134"/>
      <c r="AO259" s="137"/>
      <c r="AP259" s="137"/>
      <c r="AQ259" s="137"/>
      <c r="AR259" s="130">
        <f>'Basic Data'!$B$98/1000</f>
        <v>8.0208999999999993</v>
      </c>
    </row>
    <row r="260" spans="1:44" x14ac:dyDescent="0.3">
      <c r="A260" s="129">
        <f t="shared" si="19"/>
        <v>46003</v>
      </c>
      <c r="B260" s="130">
        <f>YEAR(Table13[[#This Row],[Date]])+IF(MONTH(Table13[[#This Row],[Date]])&gt;=4,1,0)</f>
        <v>2026</v>
      </c>
      <c r="C260" s="7">
        <f>YEAR(Table13[[#This Row],[Date]])</f>
        <v>2025</v>
      </c>
      <c r="D260" s="131">
        <f>Table13[[#This Row],[Date]]-DAY(Table13[[#This Row],[Date]])+1</f>
        <v>45992</v>
      </c>
      <c r="E260" s="7">
        <f t="shared" si="16"/>
        <v>31</v>
      </c>
      <c r="F260" s="132" t="str">
        <f>IFERROR(_xlfn.XLOOKUP($A260,'Raw Data'!$G:$G,'Raw Data'!$AM:$AM),"")</f>
        <v/>
      </c>
      <c r="G260" s="133" t="str">
        <f>IFERROR(_xlfn.XLOOKUP($A260,'Raw Data'!$G:$G,'Raw Data'!$AB:$AB),"")</f>
        <v/>
      </c>
      <c r="H260" s="133"/>
      <c r="I260" s="133" t="str">
        <f>IFERROR(_xlfn.XLOOKUP($A260,'Raw Data'!$G:$G,'Raw Data'!$AC:$AC),"")</f>
        <v/>
      </c>
      <c r="J260" s="133"/>
      <c r="K260" s="133" t="str">
        <f>IFERROR(_xlfn.XLOOKUP($A260,'Raw Data'!$G:$G,'Raw Data'!AD:AD),"")</f>
        <v/>
      </c>
      <c r="L260" s="133" t="str">
        <f>IFERROR(_xlfn.XLOOKUP($A260,'Raw Data'!$G:$G,'Raw Data'!AE:AE),"")</f>
        <v/>
      </c>
      <c r="M260" s="133" t="str">
        <f>IFERROR(_xlfn.XLOOKUP($A260,'Raw Data'!$G:$G,'Raw Data'!AF:AF),"")</f>
        <v/>
      </c>
      <c r="N260" s="133" t="str">
        <f>IFERROR(_xlfn.XLOOKUP($A260,'Raw Data'!$G:$G,'Raw Data'!AG:AG),"")</f>
        <v/>
      </c>
      <c r="O260" s="134" t="str">
        <f>IFERROR(1-SUMIF('Plant BD'!$H:$H,$A260,'Plant BD'!$AE:$AE)/($AA260+SUMIF('Plant BD'!$H:$H,$A260,'Plant BD'!$AE:$AE)),"")</f>
        <v/>
      </c>
      <c r="P260" s="134"/>
      <c r="Q260" s="135"/>
      <c r="R260" s="134" t="str">
        <f>IFERROR(1-SUMIF('Grid BD'!$H:$H,$A260,'Grid BD'!$AD:$AD)/($AA260+SUMIF('Grid BD'!$H:$H,$A260,'Grid BD'!$AD:$AD)),"")</f>
        <v/>
      </c>
      <c r="T260" s="135"/>
      <c r="U260" s="136" t="str">
        <f t="shared" si="17"/>
        <v/>
      </c>
      <c r="V260" s="136"/>
      <c r="W260" s="137" t="str">
        <f t="shared" si="18"/>
        <v/>
      </c>
      <c r="X260" s="130" t="str">
        <f>IFERROR(_xlfn.XLOOKUP($A260,'Raw Data'!$G:$G,'Raw Data'!AI:AI),"")</f>
        <v/>
      </c>
      <c r="Y260" s="130" t="str">
        <f>IFERROR(_xlfn.XLOOKUP($A260,'Raw Data'!$G:$G,'Raw Data'!AJ:AJ),"")</f>
        <v/>
      </c>
      <c r="Z260" s="130" t="str">
        <f>IFERROR(_xlfn.XLOOKUP($A260,'Raw Data'!$G:$G,'Raw Data'!AK:AK),"")</f>
        <v/>
      </c>
      <c r="AA260" s="130" t="str">
        <f>IFERROR(_xlfn.XLOOKUP($A260,'Raw Data'!$G:$G,'Raw Data'!AL:AL),"")</f>
        <v/>
      </c>
      <c r="AB260" s="130" t="str">
        <f>IFERROR(_xlfn.XLOOKUP($A260,'Raw Data'!$G:$G,'Raw Data'!H:H),"")</f>
        <v/>
      </c>
      <c r="AC260" s="76">
        <f>IFERROR(_xlfn.XLOOKUP($D260,'Modelling New'!$D:$D,'Modelling New'!P:P),"")</f>
        <v>5.2806451612903222</v>
      </c>
      <c r="AD260" s="130">
        <f>IFERROR(_xlfn.XLOOKUP($D260,'Modelling New'!$D:$D,'Modelling New'!$T:$T)*1000,"")</f>
        <v>31172.693339085006</v>
      </c>
      <c r="AE260" s="138">
        <f>IFERROR(_xlfn.XLOOKUP($D260,'Modelling New'!$D:$D,'Modelling New'!O:O),"")</f>
        <v>0.73597699552347362</v>
      </c>
      <c r="AF260" s="137">
        <f>IFERROR(_xlfn.XLOOKUP($D260,'Modelling New'!$D:$D,'Modelling New'!W:W),"")</f>
        <v>0.16193472334300082</v>
      </c>
      <c r="AG260" s="137">
        <f>IFERROR(_xlfn.XLOOKUP($D260,'Modelling New'!$D:$D,'Modelling New'!AE:AE),"")</f>
        <v>0.98040000000000005</v>
      </c>
      <c r="AH260" s="156">
        <f>IFERROR(_xlfn.XLOOKUP($D260,'Modelling New'!$D:$D,'Modelling New'!AF:AF),"")</f>
        <v>0.98</v>
      </c>
      <c r="AN260" s="134"/>
      <c r="AO260" s="137"/>
      <c r="AP260" s="137"/>
      <c r="AQ260" s="137"/>
      <c r="AR260" s="130">
        <f>'Basic Data'!$B$98/1000</f>
        <v>8.0208999999999993</v>
      </c>
    </row>
    <row r="261" spans="1:44" x14ac:dyDescent="0.3">
      <c r="A261" s="129">
        <f t="shared" si="19"/>
        <v>46004</v>
      </c>
      <c r="B261" s="130">
        <f>YEAR(Table13[[#This Row],[Date]])+IF(MONTH(Table13[[#This Row],[Date]])&gt;=4,1,0)</f>
        <v>2026</v>
      </c>
      <c r="C261" s="7">
        <f>YEAR(Table13[[#This Row],[Date]])</f>
        <v>2025</v>
      </c>
      <c r="D261" s="131">
        <f>Table13[[#This Row],[Date]]-DAY(Table13[[#This Row],[Date]])+1</f>
        <v>45992</v>
      </c>
      <c r="E261" s="7">
        <f t="shared" si="16"/>
        <v>31</v>
      </c>
      <c r="F261" s="132" t="str">
        <f>IFERROR(_xlfn.XLOOKUP($A261,'Raw Data'!$G:$G,'Raw Data'!$AM:$AM),"")</f>
        <v/>
      </c>
      <c r="G261" s="133" t="str">
        <f>IFERROR(_xlfn.XLOOKUP($A261,'Raw Data'!$G:$G,'Raw Data'!$AB:$AB),"")</f>
        <v/>
      </c>
      <c r="H261" s="133"/>
      <c r="I261" s="133" t="str">
        <f>IFERROR(_xlfn.XLOOKUP($A261,'Raw Data'!$G:$G,'Raw Data'!$AC:$AC),"")</f>
        <v/>
      </c>
      <c r="J261" s="133"/>
      <c r="K261" s="133" t="str">
        <f>IFERROR(_xlfn.XLOOKUP($A261,'Raw Data'!$G:$G,'Raw Data'!AD:AD),"")</f>
        <v/>
      </c>
      <c r="L261" s="133" t="str">
        <f>IFERROR(_xlfn.XLOOKUP($A261,'Raw Data'!$G:$G,'Raw Data'!AE:AE),"")</f>
        <v/>
      </c>
      <c r="M261" s="133" t="str">
        <f>IFERROR(_xlfn.XLOOKUP($A261,'Raw Data'!$G:$G,'Raw Data'!AF:AF),"")</f>
        <v/>
      </c>
      <c r="N261" s="133" t="str">
        <f>IFERROR(_xlfn.XLOOKUP($A261,'Raw Data'!$G:$G,'Raw Data'!AG:AG),"")</f>
        <v/>
      </c>
      <c r="O261" s="134" t="str">
        <f>IFERROR(1-SUMIF('Plant BD'!$H:$H,$A261,'Plant BD'!$AE:$AE)/($AA261+SUMIF('Plant BD'!$H:$H,$A261,'Plant BD'!$AE:$AE)),"")</f>
        <v/>
      </c>
      <c r="P261" s="134"/>
      <c r="Q261" s="135"/>
      <c r="R261" s="134" t="str">
        <f>IFERROR(1-SUMIF('Grid BD'!$H:$H,$A261,'Grid BD'!$AD:$AD)/($AA261+SUMIF('Grid BD'!$H:$H,$A261,'Grid BD'!$AD:$AD)),"")</f>
        <v/>
      </c>
      <c r="T261" s="135"/>
      <c r="U261" s="136" t="str">
        <f t="shared" si="17"/>
        <v/>
      </c>
      <c r="V261" s="136"/>
      <c r="W261" s="137" t="str">
        <f t="shared" si="18"/>
        <v/>
      </c>
      <c r="X261" s="130" t="str">
        <f>IFERROR(_xlfn.XLOOKUP($A261,'Raw Data'!$G:$G,'Raw Data'!AI:AI),"")</f>
        <v/>
      </c>
      <c r="Y261" s="130" t="str">
        <f>IFERROR(_xlfn.XLOOKUP($A261,'Raw Data'!$G:$G,'Raw Data'!AJ:AJ),"")</f>
        <v/>
      </c>
      <c r="Z261" s="130" t="str">
        <f>IFERROR(_xlfn.XLOOKUP($A261,'Raw Data'!$G:$G,'Raw Data'!AK:AK),"")</f>
        <v/>
      </c>
      <c r="AA261" s="130" t="str">
        <f>IFERROR(_xlfn.XLOOKUP($A261,'Raw Data'!$G:$G,'Raw Data'!AL:AL),"")</f>
        <v/>
      </c>
      <c r="AB261" s="130" t="str">
        <f>IFERROR(_xlfn.XLOOKUP($A261,'Raw Data'!$G:$G,'Raw Data'!H:H),"")</f>
        <v/>
      </c>
      <c r="AC261" s="76">
        <f>IFERROR(_xlfn.XLOOKUP($D261,'Modelling New'!$D:$D,'Modelling New'!P:P),"")</f>
        <v>5.2806451612903222</v>
      </c>
      <c r="AD261" s="130">
        <f>IFERROR(_xlfn.XLOOKUP($D261,'Modelling New'!$D:$D,'Modelling New'!$T:$T)*1000,"")</f>
        <v>31172.693339085006</v>
      </c>
      <c r="AE261" s="138">
        <f>IFERROR(_xlfn.XLOOKUP($D261,'Modelling New'!$D:$D,'Modelling New'!O:O),"")</f>
        <v>0.73597699552347362</v>
      </c>
      <c r="AF261" s="137">
        <f>IFERROR(_xlfn.XLOOKUP($D261,'Modelling New'!$D:$D,'Modelling New'!W:W),"")</f>
        <v>0.16193472334300082</v>
      </c>
      <c r="AG261" s="137">
        <f>IFERROR(_xlfn.XLOOKUP($D261,'Modelling New'!$D:$D,'Modelling New'!AE:AE),"")</f>
        <v>0.98040000000000005</v>
      </c>
      <c r="AH261" s="156">
        <f>IFERROR(_xlfn.XLOOKUP($D261,'Modelling New'!$D:$D,'Modelling New'!AF:AF),"")</f>
        <v>0.98</v>
      </c>
      <c r="AN261" s="134"/>
      <c r="AO261" s="137"/>
      <c r="AP261" s="137"/>
      <c r="AQ261" s="137"/>
      <c r="AR261" s="130">
        <f>'Basic Data'!$B$98/1000</f>
        <v>8.0208999999999993</v>
      </c>
    </row>
    <row r="262" spans="1:44" x14ac:dyDescent="0.3">
      <c r="A262" s="129">
        <f t="shared" si="19"/>
        <v>46005</v>
      </c>
      <c r="B262" s="130">
        <f>YEAR(Table13[[#This Row],[Date]])+IF(MONTH(Table13[[#This Row],[Date]])&gt;=4,1,0)</f>
        <v>2026</v>
      </c>
      <c r="C262" s="7">
        <f>YEAR(Table13[[#This Row],[Date]])</f>
        <v>2025</v>
      </c>
      <c r="D262" s="131">
        <f>Table13[[#This Row],[Date]]-DAY(Table13[[#This Row],[Date]])+1</f>
        <v>45992</v>
      </c>
      <c r="E262" s="7">
        <f t="shared" si="16"/>
        <v>31</v>
      </c>
      <c r="F262" s="132" t="str">
        <f>IFERROR(_xlfn.XLOOKUP($A262,'Raw Data'!$G:$G,'Raw Data'!$AM:$AM),"")</f>
        <v/>
      </c>
      <c r="G262" s="133" t="str">
        <f>IFERROR(_xlfn.XLOOKUP($A262,'Raw Data'!$G:$G,'Raw Data'!$AB:$AB),"")</f>
        <v/>
      </c>
      <c r="H262" s="133"/>
      <c r="I262" s="133" t="str">
        <f>IFERROR(_xlfn.XLOOKUP($A262,'Raw Data'!$G:$G,'Raw Data'!$AC:$AC),"")</f>
        <v/>
      </c>
      <c r="J262" s="133"/>
      <c r="K262" s="133" t="str">
        <f>IFERROR(_xlfn.XLOOKUP($A262,'Raw Data'!$G:$G,'Raw Data'!AD:AD),"")</f>
        <v/>
      </c>
      <c r="L262" s="133" t="str">
        <f>IFERROR(_xlfn.XLOOKUP($A262,'Raw Data'!$G:$G,'Raw Data'!AE:AE),"")</f>
        <v/>
      </c>
      <c r="M262" s="133" t="str">
        <f>IFERROR(_xlfn.XLOOKUP($A262,'Raw Data'!$G:$G,'Raw Data'!AF:AF),"")</f>
        <v/>
      </c>
      <c r="N262" s="133" t="str">
        <f>IFERROR(_xlfn.XLOOKUP($A262,'Raw Data'!$G:$G,'Raw Data'!AG:AG),"")</f>
        <v/>
      </c>
      <c r="O262" s="134" t="str">
        <f>IFERROR(1-SUMIF('Plant BD'!$H:$H,$A262,'Plant BD'!$AE:$AE)/($AA262+SUMIF('Plant BD'!$H:$H,$A262,'Plant BD'!$AE:$AE)),"")</f>
        <v/>
      </c>
      <c r="P262" s="134"/>
      <c r="Q262" s="135"/>
      <c r="R262" s="134" t="str">
        <f>IFERROR(1-SUMIF('Grid BD'!$H:$H,$A262,'Grid BD'!$AD:$AD)/($AA262+SUMIF('Grid BD'!$H:$H,$A262,'Grid BD'!$AD:$AD)),"")</f>
        <v/>
      </c>
      <c r="T262" s="135"/>
      <c r="U262" s="136" t="str">
        <f t="shared" si="17"/>
        <v/>
      </c>
      <c r="V262" s="136"/>
      <c r="W262" s="137" t="str">
        <f t="shared" si="18"/>
        <v/>
      </c>
      <c r="X262" s="130" t="str">
        <f>IFERROR(_xlfn.XLOOKUP($A262,'Raw Data'!$G:$G,'Raw Data'!AI:AI),"")</f>
        <v/>
      </c>
      <c r="Y262" s="130" t="str">
        <f>IFERROR(_xlfn.XLOOKUP($A262,'Raw Data'!$G:$G,'Raw Data'!AJ:AJ),"")</f>
        <v/>
      </c>
      <c r="Z262" s="130" t="str">
        <f>IFERROR(_xlfn.XLOOKUP($A262,'Raw Data'!$G:$G,'Raw Data'!AK:AK),"")</f>
        <v/>
      </c>
      <c r="AA262" s="130" t="str">
        <f>IFERROR(_xlfn.XLOOKUP($A262,'Raw Data'!$G:$G,'Raw Data'!AL:AL),"")</f>
        <v/>
      </c>
      <c r="AB262" s="130" t="str">
        <f>IFERROR(_xlfn.XLOOKUP($A262,'Raw Data'!$G:$G,'Raw Data'!H:H),"")</f>
        <v/>
      </c>
      <c r="AC262" s="76">
        <f>IFERROR(_xlfn.XLOOKUP($D262,'Modelling New'!$D:$D,'Modelling New'!P:P),"")</f>
        <v>5.2806451612903222</v>
      </c>
      <c r="AD262" s="130">
        <f>IFERROR(_xlfn.XLOOKUP($D262,'Modelling New'!$D:$D,'Modelling New'!$T:$T)*1000,"")</f>
        <v>31172.693339085006</v>
      </c>
      <c r="AE262" s="138">
        <f>IFERROR(_xlfn.XLOOKUP($D262,'Modelling New'!$D:$D,'Modelling New'!O:O),"")</f>
        <v>0.73597699552347362</v>
      </c>
      <c r="AF262" s="137">
        <f>IFERROR(_xlfn.XLOOKUP($D262,'Modelling New'!$D:$D,'Modelling New'!W:W),"")</f>
        <v>0.16193472334300082</v>
      </c>
      <c r="AG262" s="137">
        <f>IFERROR(_xlfn.XLOOKUP($D262,'Modelling New'!$D:$D,'Modelling New'!AE:AE),"")</f>
        <v>0.98040000000000005</v>
      </c>
      <c r="AH262" s="156">
        <f>IFERROR(_xlfn.XLOOKUP($D262,'Modelling New'!$D:$D,'Modelling New'!AF:AF),"")</f>
        <v>0.98</v>
      </c>
      <c r="AN262" s="134"/>
      <c r="AO262" s="137"/>
      <c r="AP262" s="137"/>
      <c r="AQ262" s="137"/>
      <c r="AR262" s="130">
        <f>'Basic Data'!$B$98/1000</f>
        <v>8.0208999999999993</v>
      </c>
    </row>
    <row r="263" spans="1:44" x14ac:dyDescent="0.3">
      <c r="A263" s="129">
        <f t="shared" si="19"/>
        <v>46006</v>
      </c>
      <c r="B263" s="130">
        <f>YEAR(Table13[[#This Row],[Date]])+IF(MONTH(Table13[[#This Row],[Date]])&gt;=4,1,0)</f>
        <v>2026</v>
      </c>
      <c r="C263" s="7">
        <f>YEAR(Table13[[#This Row],[Date]])</f>
        <v>2025</v>
      </c>
      <c r="D263" s="131">
        <f>Table13[[#This Row],[Date]]-DAY(Table13[[#This Row],[Date]])+1</f>
        <v>45992</v>
      </c>
      <c r="E263" s="7">
        <f t="shared" si="16"/>
        <v>31</v>
      </c>
      <c r="F263" s="132" t="str">
        <f>IFERROR(_xlfn.XLOOKUP($A263,'Raw Data'!$G:$G,'Raw Data'!$AM:$AM),"")</f>
        <v/>
      </c>
      <c r="G263" s="133" t="str">
        <f>IFERROR(_xlfn.XLOOKUP($A263,'Raw Data'!$G:$G,'Raw Data'!$AB:$AB),"")</f>
        <v/>
      </c>
      <c r="H263" s="133"/>
      <c r="I263" s="133" t="str">
        <f>IFERROR(_xlfn.XLOOKUP($A263,'Raw Data'!$G:$G,'Raw Data'!$AC:$AC),"")</f>
        <v/>
      </c>
      <c r="J263" s="133"/>
      <c r="K263" s="133" t="str">
        <f>IFERROR(_xlfn.XLOOKUP($A263,'Raw Data'!$G:$G,'Raw Data'!AD:AD),"")</f>
        <v/>
      </c>
      <c r="L263" s="133" t="str">
        <f>IFERROR(_xlfn.XLOOKUP($A263,'Raw Data'!$G:$G,'Raw Data'!AE:AE),"")</f>
        <v/>
      </c>
      <c r="M263" s="133" t="str">
        <f>IFERROR(_xlfn.XLOOKUP($A263,'Raw Data'!$G:$G,'Raw Data'!AF:AF),"")</f>
        <v/>
      </c>
      <c r="N263" s="133" t="str">
        <f>IFERROR(_xlfn.XLOOKUP($A263,'Raw Data'!$G:$G,'Raw Data'!AG:AG),"")</f>
        <v/>
      </c>
      <c r="O263" s="134" t="str">
        <f>IFERROR(1-SUMIF('Plant BD'!$H:$H,$A263,'Plant BD'!$AE:$AE)/($AA263+SUMIF('Plant BD'!$H:$H,$A263,'Plant BD'!$AE:$AE)),"")</f>
        <v/>
      </c>
      <c r="P263" s="134"/>
      <c r="Q263" s="135"/>
      <c r="R263" s="134" t="str">
        <f>IFERROR(1-SUMIF('Grid BD'!$H:$H,$A263,'Grid BD'!$AD:$AD)/($AA263+SUMIF('Grid BD'!$H:$H,$A263,'Grid BD'!$AD:$AD)),"")</f>
        <v/>
      </c>
      <c r="T263" s="135"/>
      <c r="U263" s="136" t="str">
        <f t="shared" si="17"/>
        <v/>
      </c>
      <c r="V263" s="136"/>
      <c r="W263" s="137" t="str">
        <f t="shared" si="18"/>
        <v/>
      </c>
      <c r="X263" s="130" t="str">
        <f>IFERROR(_xlfn.XLOOKUP($A263,'Raw Data'!$G:$G,'Raw Data'!AI:AI),"")</f>
        <v/>
      </c>
      <c r="Y263" s="130" t="str">
        <f>IFERROR(_xlfn.XLOOKUP($A263,'Raw Data'!$G:$G,'Raw Data'!AJ:AJ),"")</f>
        <v/>
      </c>
      <c r="Z263" s="130" t="str">
        <f>IFERROR(_xlfn.XLOOKUP($A263,'Raw Data'!$G:$G,'Raw Data'!AK:AK),"")</f>
        <v/>
      </c>
      <c r="AA263" s="130" t="str">
        <f>IFERROR(_xlfn.XLOOKUP($A263,'Raw Data'!$G:$G,'Raw Data'!AL:AL),"")</f>
        <v/>
      </c>
      <c r="AB263" s="130" t="str">
        <f>IFERROR(_xlfn.XLOOKUP($A263,'Raw Data'!$G:$G,'Raw Data'!H:H),"")</f>
        <v/>
      </c>
      <c r="AC263" s="76">
        <f>IFERROR(_xlfn.XLOOKUP($D263,'Modelling New'!$D:$D,'Modelling New'!P:P),"")</f>
        <v>5.2806451612903222</v>
      </c>
      <c r="AD263" s="130">
        <f>IFERROR(_xlfn.XLOOKUP($D263,'Modelling New'!$D:$D,'Modelling New'!$T:$T)*1000,"")</f>
        <v>31172.693339085006</v>
      </c>
      <c r="AE263" s="138">
        <f>IFERROR(_xlfn.XLOOKUP($D263,'Modelling New'!$D:$D,'Modelling New'!O:O),"")</f>
        <v>0.73597699552347362</v>
      </c>
      <c r="AF263" s="137">
        <f>IFERROR(_xlfn.XLOOKUP($D263,'Modelling New'!$D:$D,'Modelling New'!W:W),"")</f>
        <v>0.16193472334300082</v>
      </c>
      <c r="AG263" s="137">
        <f>IFERROR(_xlfn.XLOOKUP($D263,'Modelling New'!$D:$D,'Modelling New'!AE:AE),"")</f>
        <v>0.98040000000000005</v>
      </c>
      <c r="AH263" s="156">
        <f>IFERROR(_xlfn.XLOOKUP($D263,'Modelling New'!$D:$D,'Modelling New'!AF:AF),"")</f>
        <v>0.98</v>
      </c>
      <c r="AN263" s="134"/>
      <c r="AO263" s="137"/>
      <c r="AP263" s="137"/>
      <c r="AQ263" s="137"/>
      <c r="AR263" s="130">
        <f>'Basic Data'!$B$98/1000</f>
        <v>8.0208999999999993</v>
      </c>
    </row>
    <row r="264" spans="1:44" x14ac:dyDescent="0.3">
      <c r="A264" s="129">
        <f t="shared" si="19"/>
        <v>46007</v>
      </c>
      <c r="B264" s="130">
        <f>YEAR(Table13[[#This Row],[Date]])+IF(MONTH(Table13[[#This Row],[Date]])&gt;=4,1,0)</f>
        <v>2026</v>
      </c>
      <c r="C264" s="7">
        <f>YEAR(Table13[[#This Row],[Date]])</f>
        <v>2025</v>
      </c>
      <c r="D264" s="131">
        <f>Table13[[#This Row],[Date]]-DAY(Table13[[#This Row],[Date]])+1</f>
        <v>45992</v>
      </c>
      <c r="E264" s="7">
        <f t="shared" si="16"/>
        <v>31</v>
      </c>
      <c r="F264" s="132" t="str">
        <f>IFERROR(_xlfn.XLOOKUP($A264,'Raw Data'!$G:$G,'Raw Data'!$AM:$AM),"")</f>
        <v/>
      </c>
      <c r="G264" s="133" t="str">
        <f>IFERROR(_xlfn.XLOOKUP($A264,'Raw Data'!$G:$G,'Raw Data'!$AB:$AB),"")</f>
        <v/>
      </c>
      <c r="H264" s="133"/>
      <c r="I264" s="133" t="str">
        <f>IFERROR(_xlfn.XLOOKUP($A264,'Raw Data'!$G:$G,'Raw Data'!$AC:$AC),"")</f>
        <v/>
      </c>
      <c r="J264" s="133"/>
      <c r="K264" s="133" t="str">
        <f>IFERROR(_xlfn.XLOOKUP($A264,'Raw Data'!$G:$G,'Raw Data'!AD:AD),"")</f>
        <v/>
      </c>
      <c r="L264" s="133" t="str">
        <f>IFERROR(_xlfn.XLOOKUP($A264,'Raw Data'!$G:$G,'Raw Data'!AE:AE),"")</f>
        <v/>
      </c>
      <c r="M264" s="133" t="str">
        <f>IFERROR(_xlfn.XLOOKUP($A264,'Raw Data'!$G:$G,'Raw Data'!AF:AF),"")</f>
        <v/>
      </c>
      <c r="N264" s="133" t="str">
        <f>IFERROR(_xlfn.XLOOKUP($A264,'Raw Data'!$G:$G,'Raw Data'!AG:AG),"")</f>
        <v/>
      </c>
      <c r="O264" s="134" t="str">
        <f>IFERROR(1-SUMIF('Plant BD'!$H:$H,$A264,'Plant BD'!$AE:$AE)/($AA264+SUMIF('Plant BD'!$H:$H,$A264,'Plant BD'!$AE:$AE)),"")</f>
        <v/>
      </c>
      <c r="P264" s="134"/>
      <c r="Q264" s="135"/>
      <c r="R264" s="134" t="str">
        <f>IFERROR(1-SUMIF('Grid BD'!$H:$H,$A264,'Grid BD'!$AD:$AD)/($AA264+SUMIF('Grid BD'!$H:$H,$A264,'Grid BD'!$AD:$AD)),"")</f>
        <v/>
      </c>
      <c r="T264" s="135"/>
      <c r="U264" s="136" t="str">
        <f t="shared" si="17"/>
        <v/>
      </c>
      <c r="V264" s="136"/>
      <c r="W264" s="137" t="str">
        <f t="shared" si="18"/>
        <v/>
      </c>
      <c r="X264" s="130" t="str">
        <f>IFERROR(_xlfn.XLOOKUP($A264,'Raw Data'!$G:$G,'Raw Data'!AI:AI),"")</f>
        <v/>
      </c>
      <c r="Y264" s="130" t="str">
        <f>IFERROR(_xlfn.XLOOKUP($A264,'Raw Data'!$G:$G,'Raw Data'!AJ:AJ),"")</f>
        <v/>
      </c>
      <c r="Z264" s="130" t="str">
        <f>IFERROR(_xlfn.XLOOKUP($A264,'Raw Data'!$G:$G,'Raw Data'!AK:AK),"")</f>
        <v/>
      </c>
      <c r="AA264" s="130" t="str">
        <f>IFERROR(_xlfn.XLOOKUP($A264,'Raw Data'!$G:$G,'Raw Data'!AL:AL),"")</f>
        <v/>
      </c>
      <c r="AB264" s="130" t="str">
        <f>IFERROR(_xlfn.XLOOKUP($A264,'Raw Data'!$G:$G,'Raw Data'!H:H),"")</f>
        <v/>
      </c>
      <c r="AC264" s="76">
        <f>IFERROR(_xlfn.XLOOKUP($D264,'Modelling New'!$D:$D,'Modelling New'!P:P),"")</f>
        <v>5.2806451612903222</v>
      </c>
      <c r="AD264" s="130">
        <f>IFERROR(_xlfn.XLOOKUP($D264,'Modelling New'!$D:$D,'Modelling New'!$T:$T)*1000,"")</f>
        <v>31172.693339085006</v>
      </c>
      <c r="AE264" s="138">
        <f>IFERROR(_xlfn.XLOOKUP($D264,'Modelling New'!$D:$D,'Modelling New'!O:O),"")</f>
        <v>0.73597699552347362</v>
      </c>
      <c r="AF264" s="137">
        <f>IFERROR(_xlfn.XLOOKUP($D264,'Modelling New'!$D:$D,'Modelling New'!W:W),"")</f>
        <v>0.16193472334300082</v>
      </c>
      <c r="AG264" s="137">
        <f>IFERROR(_xlfn.XLOOKUP($D264,'Modelling New'!$D:$D,'Modelling New'!AE:AE),"")</f>
        <v>0.98040000000000005</v>
      </c>
      <c r="AH264" s="156">
        <f>IFERROR(_xlfn.XLOOKUP($D264,'Modelling New'!$D:$D,'Modelling New'!AF:AF),"")</f>
        <v>0.98</v>
      </c>
      <c r="AN264" s="134"/>
      <c r="AO264" s="137"/>
      <c r="AP264" s="137"/>
      <c r="AQ264" s="137"/>
      <c r="AR264" s="130">
        <f>'Basic Data'!$B$98/1000</f>
        <v>8.0208999999999993</v>
      </c>
    </row>
    <row r="265" spans="1:44" x14ac:dyDescent="0.3">
      <c r="A265" s="129">
        <f t="shared" si="19"/>
        <v>46008</v>
      </c>
      <c r="B265" s="130">
        <f>YEAR(Table13[[#This Row],[Date]])+IF(MONTH(Table13[[#This Row],[Date]])&gt;=4,1,0)</f>
        <v>2026</v>
      </c>
      <c r="C265" s="7">
        <f>YEAR(Table13[[#This Row],[Date]])</f>
        <v>2025</v>
      </c>
      <c r="D265" s="131">
        <f>Table13[[#This Row],[Date]]-DAY(Table13[[#This Row],[Date]])+1</f>
        <v>45992</v>
      </c>
      <c r="E265" s="7">
        <f t="shared" si="16"/>
        <v>31</v>
      </c>
      <c r="F265" s="132" t="str">
        <f>IFERROR(_xlfn.XLOOKUP($A265,'Raw Data'!$G:$G,'Raw Data'!$AM:$AM),"")</f>
        <v/>
      </c>
      <c r="G265" s="133" t="str">
        <f>IFERROR(_xlfn.XLOOKUP($A265,'Raw Data'!$G:$G,'Raw Data'!$AB:$AB),"")</f>
        <v/>
      </c>
      <c r="H265" s="133"/>
      <c r="I265" s="133" t="str">
        <f>IFERROR(_xlfn.XLOOKUP($A265,'Raw Data'!$G:$G,'Raw Data'!$AC:$AC),"")</f>
        <v/>
      </c>
      <c r="J265" s="133"/>
      <c r="K265" s="133" t="str">
        <f>IFERROR(_xlfn.XLOOKUP($A265,'Raw Data'!$G:$G,'Raw Data'!AD:AD),"")</f>
        <v/>
      </c>
      <c r="L265" s="133" t="str">
        <f>IFERROR(_xlfn.XLOOKUP($A265,'Raw Data'!$G:$G,'Raw Data'!AE:AE),"")</f>
        <v/>
      </c>
      <c r="M265" s="133" t="str">
        <f>IFERROR(_xlfn.XLOOKUP($A265,'Raw Data'!$G:$G,'Raw Data'!AF:AF),"")</f>
        <v/>
      </c>
      <c r="N265" s="133" t="str">
        <f>IFERROR(_xlfn.XLOOKUP($A265,'Raw Data'!$G:$G,'Raw Data'!AG:AG),"")</f>
        <v/>
      </c>
      <c r="O265" s="134" t="str">
        <f>IFERROR(1-SUMIF('Plant BD'!$H:$H,$A265,'Plant BD'!$AE:$AE)/($AA265+SUMIF('Plant BD'!$H:$H,$A265,'Plant BD'!$AE:$AE)),"")</f>
        <v/>
      </c>
      <c r="P265" s="134"/>
      <c r="Q265" s="135"/>
      <c r="R265" s="134" t="str">
        <f>IFERROR(1-SUMIF('Grid BD'!$H:$H,$A265,'Grid BD'!$AD:$AD)/($AA265+SUMIF('Grid BD'!$H:$H,$A265,'Grid BD'!$AD:$AD)),"")</f>
        <v/>
      </c>
      <c r="T265" s="135"/>
      <c r="U265" s="136" t="str">
        <f t="shared" si="17"/>
        <v/>
      </c>
      <c r="V265" s="136"/>
      <c r="W265" s="137" t="str">
        <f t="shared" si="18"/>
        <v/>
      </c>
      <c r="X265" s="130" t="str">
        <f>IFERROR(_xlfn.XLOOKUP($A265,'Raw Data'!$G:$G,'Raw Data'!AI:AI),"")</f>
        <v/>
      </c>
      <c r="Y265" s="130" t="str">
        <f>IFERROR(_xlfn.XLOOKUP($A265,'Raw Data'!$G:$G,'Raw Data'!AJ:AJ),"")</f>
        <v/>
      </c>
      <c r="Z265" s="130" t="str">
        <f>IFERROR(_xlfn.XLOOKUP($A265,'Raw Data'!$G:$G,'Raw Data'!AK:AK),"")</f>
        <v/>
      </c>
      <c r="AA265" s="130" t="str">
        <f>IFERROR(_xlfn.XLOOKUP($A265,'Raw Data'!$G:$G,'Raw Data'!AL:AL),"")</f>
        <v/>
      </c>
      <c r="AB265" s="130" t="str">
        <f>IFERROR(_xlfn.XLOOKUP($A265,'Raw Data'!$G:$G,'Raw Data'!H:H),"")</f>
        <v/>
      </c>
      <c r="AC265" s="76">
        <f>IFERROR(_xlfn.XLOOKUP($D265,'Modelling New'!$D:$D,'Modelling New'!P:P),"")</f>
        <v>5.2806451612903222</v>
      </c>
      <c r="AD265" s="130">
        <f>IFERROR(_xlfn.XLOOKUP($D265,'Modelling New'!$D:$D,'Modelling New'!$T:$T)*1000,"")</f>
        <v>31172.693339085006</v>
      </c>
      <c r="AE265" s="138">
        <f>IFERROR(_xlfn.XLOOKUP($D265,'Modelling New'!$D:$D,'Modelling New'!O:O),"")</f>
        <v>0.73597699552347362</v>
      </c>
      <c r="AF265" s="137">
        <f>IFERROR(_xlfn.XLOOKUP($D265,'Modelling New'!$D:$D,'Modelling New'!W:W),"")</f>
        <v>0.16193472334300082</v>
      </c>
      <c r="AG265" s="137">
        <f>IFERROR(_xlfn.XLOOKUP($D265,'Modelling New'!$D:$D,'Modelling New'!AE:AE),"")</f>
        <v>0.98040000000000005</v>
      </c>
      <c r="AH265" s="156">
        <f>IFERROR(_xlfn.XLOOKUP($D265,'Modelling New'!$D:$D,'Modelling New'!AF:AF),"")</f>
        <v>0.98</v>
      </c>
      <c r="AN265" s="134"/>
      <c r="AO265" s="137"/>
      <c r="AP265" s="137"/>
      <c r="AQ265" s="137"/>
      <c r="AR265" s="130">
        <f>'Basic Data'!$B$98/1000</f>
        <v>8.0208999999999993</v>
      </c>
    </row>
    <row r="266" spans="1:44" x14ac:dyDescent="0.3">
      <c r="A266" s="129">
        <f t="shared" si="19"/>
        <v>46009</v>
      </c>
      <c r="B266" s="130">
        <f>YEAR(Table13[[#This Row],[Date]])+IF(MONTH(Table13[[#This Row],[Date]])&gt;=4,1,0)</f>
        <v>2026</v>
      </c>
      <c r="C266" s="7">
        <f>YEAR(Table13[[#This Row],[Date]])</f>
        <v>2025</v>
      </c>
      <c r="D266" s="131">
        <f>Table13[[#This Row],[Date]]-DAY(Table13[[#This Row],[Date]])+1</f>
        <v>45992</v>
      </c>
      <c r="E266" s="7">
        <f t="shared" si="16"/>
        <v>31</v>
      </c>
      <c r="F266" s="132" t="str">
        <f>IFERROR(_xlfn.XLOOKUP($A266,'Raw Data'!$G:$G,'Raw Data'!$AM:$AM),"")</f>
        <v/>
      </c>
      <c r="G266" s="133" t="str">
        <f>IFERROR(_xlfn.XLOOKUP($A266,'Raw Data'!$G:$G,'Raw Data'!$AB:$AB),"")</f>
        <v/>
      </c>
      <c r="H266" s="133"/>
      <c r="I266" s="133" t="str">
        <f>IFERROR(_xlfn.XLOOKUP($A266,'Raw Data'!$G:$G,'Raw Data'!$AC:$AC),"")</f>
        <v/>
      </c>
      <c r="J266" s="133"/>
      <c r="K266" s="133" t="str">
        <f>IFERROR(_xlfn.XLOOKUP($A266,'Raw Data'!$G:$G,'Raw Data'!AD:AD),"")</f>
        <v/>
      </c>
      <c r="L266" s="133" t="str">
        <f>IFERROR(_xlfn.XLOOKUP($A266,'Raw Data'!$G:$G,'Raw Data'!AE:AE),"")</f>
        <v/>
      </c>
      <c r="M266" s="133" t="str">
        <f>IFERROR(_xlfn.XLOOKUP($A266,'Raw Data'!$G:$G,'Raw Data'!AF:AF),"")</f>
        <v/>
      </c>
      <c r="N266" s="133" t="str">
        <f>IFERROR(_xlfn.XLOOKUP($A266,'Raw Data'!$G:$G,'Raw Data'!AG:AG),"")</f>
        <v/>
      </c>
      <c r="O266" s="134" t="str">
        <f>IFERROR(1-SUMIF('Plant BD'!$H:$H,$A266,'Plant BD'!$AE:$AE)/($AA266+SUMIF('Plant BD'!$H:$H,$A266,'Plant BD'!$AE:$AE)),"")</f>
        <v/>
      </c>
      <c r="P266" s="134"/>
      <c r="Q266" s="135"/>
      <c r="R266" s="134" t="str">
        <f>IFERROR(1-SUMIF('Grid BD'!$H:$H,$A266,'Grid BD'!$AD:$AD)/($AA266+SUMIF('Grid BD'!$H:$H,$A266,'Grid BD'!$AD:$AD)),"")</f>
        <v/>
      </c>
      <c r="T266" s="135"/>
      <c r="U266" s="136" t="str">
        <f t="shared" si="17"/>
        <v/>
      </c>
      <c r="V266" s="136"/>
      <c r="W266" s="137" t="str">
        <f t="shared" si="18"/>
        <v/>
      </c>
      <c r="X266" s="130" t="str">
        <f>IFERROR(_xlfn.XLOOKUP($A266,'Raw Data'!$G:$G,'Raw Data'!AI:AI),"")</f>
        <v/>
      </c>
      <c r="Y266" s="130" t="str">
        <f>IFERROR(_xlfn.XLOOKUP($A266,'Raw Data'!$G:$G,'Raw Data'!AJ:AJ),"")</f>
        <v/>
      </c>
      <c r="Z266" s="130" t="str">
        <f>IFERROR(_xlfn.XLOOKUP($A266,'Raw Data'!$G:$G,'Raw Data'!AK:AK),"")</f>
        <v/>
      </c>
      <c r="AA266" s="130" t="str">
        <f>IFERROR(_xlfn.XLOOKUP($A266,'Raw Data'!$G:$G,'Raw Data'!AL:AL),"")</f>
        <v/>
      </c>
      <c r="AB266" s="130" t="str">
        <f>IFERROR(_xlfn.XLOOKUP($A266,'Raw Data'!$G:$G,'Raw Data'!H:H),"")</f>
        <v/>
      </c>
      <c r="AC266" s="76">
        <f>IFERROR(_xlfn.XLOOKUP($D266,'Modelling New'!$D:$D,'Modelling New'!P:P),"")</f>
        <v>5.2806451612903222</v>
      </c>
      <c r="AD266" s="130">
        <f>IFERROR(_xlfn.XLOOKUP($D266,'Modelling New'!$D:$D,'Modelling New'!$T:$T)*1000,"")</f>
        <v>31172.693339085006</v>
      </c>
      <c r="AE266" s="138">
        <f>IFERROR(_xlfn.XLOOKUP($D266,'Modelling New'!$D:$D,'Modelling New'!O:O),"")</f>
        <v>0.73597699552347362</v>
      </c>
      <c r="AF266" s="137">
        <f>IFERROR(_xlfn.XLOOKUP($D266,'Modelling New'!$D:$D,'Modelling New'!W:W),"")</f>
        <v>0.16193472334300082</v>
      </c>
      <c r="AG266" s="137">
        <f>IFERROR(_xlfn.XLOOKUP($D266,'Modelling New'!$D:$D,'Modelling New'!AE:AE),"")</f>
        <v>0.98040000000000005</v>
      </c>
      <c r="AH266" s="156">
        <f>IFERROR(_xlfn.XLOOKUP($D266,'Modelling New'!$D:$D,'Modelling New'!AF:AF),"")</f>
        <v>0.98</v>
      </c>
      <c r="AN266" s="134"/>
      <c r="AO266" s="137"/>
      <c r="AP266" s="137"/>
      <c r="AQ266" s="137"/>
      <c r="AR266" s="130">
        <f>'Basic Data'!$B$98/1000</f>
        <v>8.0208999999999993</v>
      </c>
    </row>
    <row r="267" spans="1:44" x14ac:dyDescent="0.3">
      <c r="A267" s="129">
        <f t="shared" si="19"/>
        <v>46010</v>
      </c>
      <c r="B267" s="130">
        <f>YEAR(Table13[[#This Row],[Date]])+IF(MONTH(Table13[[#This Row],[Date]])&gt;=4,1,0)</f>
        <v>2026</v>
      </c>
      <c r="C267" s="7">
        <f>YEAR(Table13[[#This Row],[Date]])</f>
        <v>2025</v>
      </c>
      <c r="D267" s="131">
        <f>Table13[[#This Row],[Date]]-DAY(Table13[[#This Row],[Date]])+1</f>
        <v>45992</v>
      </c>
      <c r="E267" s="7">
        <f t="shared" si="16"/>
        <v>31</v>
      </c>
      <c r="F267" s="132" t="str">
        <f>IFERROR(_xlfn.XLOOKUP($A267,'Raw Data'!$G:$G,'Raw Data'!$AM:$AM),"")</f>
        <v/>
      </c>
      <c r="G267" s="133" t="str">
        <f>IFERROR(_xlfn.XLOOKUP($A267,'Raw Data'!$G:$G,'Raw Data'!$AB:$AB),"")</f>
        <v/>
      </c>
      <c r="H267" s="133"/>
      <c r="I267" s="133" t="str">
        <f>IFERROR(_xlfn.XLOOKUP($A267,'Raw Data'!$G:$G,'Raw Data'!$AC:$AC),"")</f>
        <v/>
      </c>
      <c r="J267" s="133"/>
      <c r="K267" s="133" t="str">
        <f>IFERROR(_xlfn.XLOOKUP($A267,'Raw Data'!$G:$G,'Raw Data'!AD:AD),"")</f>
        <v/>
      </c>
      <c r="L267" s="133" t="str">
        <f>IFERROR(_xlfn.XLOOKUP($A267,'Raw Data'!$G:$G,'Raw Data'!AE:AE),"")</f>
        <v/>
      </c>
      <c r="M267" s="133" t="str">
        <f>IFERROR(_xlfn.XLOOKUP($A267,'Raw Data'!$G:$G,'Raw Data'!AF:AF),"")</f>
        <v/>
      </c>
      <c r="N267" s="133" t="str">
        <f>IFERROR(_xlfn.XLOOKUP($A267,'Raw Data'!$G:$G,'Raw Data'!AG:AG),"")</f>
        <v/>
      </c>
      <c r="O267" s="134" t="str">
        <f>IFERROR(1-SUMIF('Plant BD'!$H:$H,$A267,'Plant BD'!$AE:$AE)/($AA267+SUMIF('Plant BD'!$H:$H,$A267,'Plant BD'!$AE:$AE)),"")</f>
        <v/>
      </c>
      <c r="P267" s="134"/>
      <c r="Q267" s="135"/>
      <c r="R267" s="134" t="str">
        <f>IFERROR(1-SUMIF('Grid BD'!$H:$H,$A267,'Grid BD'!$AD:$AD)/($AA267+SUMIF('Grid BD'!$H:$H,$A267,'Grid BD'!$AD:$AD)),"")</f>
        <v/>
      </c>
      <c r="T267" s="135"/>
      <c r="U267" s="136" t="str">
        <f t="shared" si="17"/>
        <v/>
      </c>
      <c r="V267" s="136"/>
      <c r="W267" s="137" t="str">
        <f t="shared" si="18"/>
        <v/>
      </c>
      <c r="X267" s="130" t="str">
        <f>IFERROR(_xlfn.XLOOKUP($A267,'Raw Data'!$G:$G,'Raw Data'!AI:AI),"")</f>
        <v/>
      </c>
      <c r="Y267" s="130" t="str">
        <f>IFERROR(_xlfn.XLOOKUP($A267,'Raw Data'!$G:$G,'Raw Data'!AJ:AJ),"")</f>
        <v/>
      </c>
      <c r="Z267" s="130" t="str">
        <f>IFERROR(_xlfn.XLOOKUP($A267,'Raw Data'!$G:$G,'Raw Data'!AK:AK),"")</f>
        <v/>
      </c>
      <c r="AA267" s="130" t="str">
        <f>IFERROR(_xlfn.XLOOKUP($A267,'Raw Data'!$G:$G,'Raw Data'!AL:AL),"")</f>
        <v/>
      </c>
      <c r="AB267" s="130" t="str">
        <f>IFERROR(_xlfn.XLOOKUP($A267,'Raw Data'!$G:$G,'Raw Data'!H:H),"")</f>
        <v/>
      </c>
      <c r="AC267" s="76">
        <f>IFERROR(_xlfn.XLOOKUP($D267,'Modelling New'!$D:$D,'Modelling New'!P:P),"")</f>
        <v>5.2806451612903222</v>
      </c>
      <c r="AD267" s="130">
        <f>IFERROR(_xlfn.XLOOKUP($D267,'Modelling New'!$D:$D,'Modelling New'!$T:$T)*1000,"")</f>
        <v>31172.693339085006</v>
      </c>
      <c r="AE267" s="138">
        <f>IFERROR(_xlfn.XLOOKUP($D267,'Modelling New'!$D:$D,'Modelling New'!O:O),"")</f>
        <v>0.73597699552347362</v>
      </c>
      <c r="AF267" s="137">
        <f>IFERROR(_xlfn.XLOOKUP($D267,'Modelling New'!$D:$D,'Modelling New'!W:W),"")</f>
        <v>0.16193472334300082</v>
      </c>
      <c r="AG267" s="137">
        <f>IFERROR(_xlfn.XLOOKUP($D267,'Modelling New'!$D:$D,'Modelling New'!AE:AE),"")</f>
        <v>0.98040000000000005</v>
      </c>
      <c r="AH267" s="156">
        <f>IFERROR(_xlfn.XLOOKUP($D267,'Modelling New'!$D:$D,'Modelling New'!AF:AF),"")</f>
        <v>0.98</v>
      </c>
      <c r="AN267" s="134"/>
      <c r="AO267" s="137"/>
      <c r="AP267" s="137"/>
      <c r="AQ267" s="137"/>
      <c r="AR267" s="130">
        <f>'Basic Data'!$B$98/1000</f>
        <v>8.0208999999999993</v>
      </c>
    </row>
    <row r="268" spans="1:44" x14ac:dyDescent="0.3">
      <c r="A268" s="129">
        <f t="shared" si="19"/>
        <v>46011</v>
      </c>
      <c r="B268" s="130">
        <f>YEAR(Table13[[#This Row],[Date]])+IF(MONTH(Table13[[#This Row],[Date]])&gt;=4,1,0)</f>
        <v>2026</v>
      </c>
      <c r="C268" s="7">
        <f>YEAR(Table13[[#This Row],[Date]])</f>
        <v>2025</v>
      </c>
      <c r="D268" s="131">
        <f>Table13[[#This Row],[Date]]-DAY(Table13[[#This Row],[Date]])+1</f>
        <v>45992</v>
      </c>
      <c r="E268" s="7">
        <f t="shared" si="16"/>
        <v>31</v>
      </c>
      <c r="F268" s="132" t="str">
        <f>IFERROR(_xlfn.XLOOKUP($A268,'Raw Data'!$G:$G,'Raw Data'!$AM:$AM),"")</f>
        <v/>
      </c>
      <c r="G268" s="133" t="str">
        <f>IFERROR(_xlfn.XLOOKUP($A268,'Raw Data'!$G:$G,'Raw Data'!$AB:$AB),"")</f>
        <v/>
      </c>
      <c r="H268" s="133"/>
      <c r="I268" s="133" t="str">
        <f>IFERROR(_xlfn.XLOOKUP($A268,'Raw Data'!$G:$G,'Raw Data'!$AC:$AC),"")</f>
        <v/>
      </c>
      <c r="J268" s="133"/>
      <c r="K268" s="133" t="str">
        <f>IFERROR(_xlfn.XLOOKUP($A268,'Raw Data'!$G:$G,'Raw Data'!AD:AD),"")</f>
        <v/>
      </c>
      <c r="L268" s="133" t="str">
        <f>IFERROR(_xlfn.XLOOKUP($A268,'Raw Data'!$G:$G,'Raw Data'!AE:AE),"")</f>
        <v/>
      </c>
      <c r="M268" s="133" t="str">
        <f>IFERROR(_xlfn.XLOOKUP($A268,'Raw Data'!$G:$G,'Raw Data'!AF:AF),"")</f>
        <v/>
      </c>
      <c r="N268" s="133" t="str">
        <f>IFERROR(_xlfn.XLOOKUP($A268,'Raw Data'!$G:$G,'Raw Data'!AG:AG),"")</f>
        <v/>
      </c>
      <c r="O268" s="134" t="str">
        <f>IFERROR(1-SUMIF('Plant BD'!$H:$H,$A268,'Plant BD'!$AE:$AE)/($AA268+SUMIF('Plant BD'!$H:$H,$A268,'Plant BD'!$AE:$AE)),"")</f>
        <v/>
      </c>
      <c r="P268" s="134"/>
      <c r="Q268" s="135"/>
      <c r="R268" s="134" t="str">
        <f>IFERROR(1-SUMIF('Grid BD'!$H:$H,$A268,'Grid BD'!$AD:$AD)/($AA268+SUMIF('Grid BD'!$H:$H,$A268,'Grid BD'!$AD:$AD)),"")</f>
        <v/>
      </c>
      <c r="T268" s="135"/>
      <c r="U268" s="136" t="str">
        <f t="shared" si="17"/>
        <v/>
      </c>
      <c r="V268" s="136"/>
      <c r="W268" s="137" t="str">
        <f t="shared" si="18"/>
        <v/>
      </c>
      <c r="X268" s="130" t="str">
        <f>IFERROR(_xlfn.XLOOKUP($A268,'Raw Data'!$G:$G,'Raw Data'!AI:AI),"")</f>
        <v/>
      </c>
      <c r="Y268" s="130" t="str">
        <f>IFERROR(_xlfn.XLOOKUP($A268,'Raw Data'!$G:$G,'Raw Data'!AJ:AJ),"")</f>
        <v/>
      </c>
      <c r="Z268" s="130" t="str">
        <f>IFERROR(_xlfn.XLOOKUP($A268,'Raw Data'!$G:$G,'Raw Data'!AK:AK),"")</f>
        <v/>
      </c>
      <c r="AA268" s="130" t="str">
        <f>IFERROR(_xlfn.XLOOKUP($A268,'Raw Data'!$G:$G,'Raw Data'!AL:AL),"")</f>
        <v/>
      </c>
      <c r="AB268" s="130" t="str">
        <f>IFERROR(_xlfn.XLOOKUP($A268,'Raw Data'!$G:$G,'Raw Data'!H:H),"")</f>
        <v/>
      </c>
      <c r="AC268" s="76">
        <f>IFERROR(_xlfn.XLOOKUP($D268,'Modelling New'!$D:$D,'Modelling New'!P:P),"")</f>
        <v>5.2806451612903222</v>
      </c>
      <c r="AD268" s="130">
        <f>IFERROR(_xlfn.XLOOKUP($D268,'Modelling New'!$D:$D,'Modelling New'!$T:$T)*1000,"")</f>
        <v>31172.693339085006</v>
      </c>
      <c r="AE268" s="138">
        <f>IFERROR(_xlfn.XLOOKUP($D268,'Modelling New'!$D:$D,'Modelling New'!O:O),"")</f>
        <v>0.73597699552347362</v>
      </c>
      <c r="AF268" s="137">
        <f>IFERROR(_xlfn.XLOOKUP($D268,'Modelling New'!$D:$D,'Modelling New'!W:W),"")</f>
        <v>0.16193472334300082</v>
      </c>
      <c r="AG268" s="137">
        <f>IFERROR(_xlfn.XLOOKUP($D268,'Modelling New'!$D:$D,'Modelling New'!AE:AE),"")</f>
        <v>0.98040000000000005</v>
      </c>
      <c r="AH268" s="156">
        <f>IFERROR(_xlfn.XLOOKUP($D268,'Modelling New'!$D:$D,'Modelling New'!AF:AF),"")</f>
        <v>0.98</v>
      </c>
      <c r="AN268" s="134"/>
      <c r="AO268" s="137"/>
      <c r="AP268" s="137"/>
      <c r="AQ268" s="137"/>
      <c r="AR268" s="130">
        <f>'Basic Data'!$B$98/1000</f>
        <v>8.0208999999999993</v>
      </c>
    </row>
    <row r="269" spans="1:44" x14ac:dyDescent="0.3">
      <c r="A269" s="129">
        <f t="shared" si="19"/>
        <v>46012</v>
      </c>
      <c r="B269" s="130">
        <f>YEAR(Table13[[#This Row],[Date]])+IF(MONTH(Table13[[#This Row],[Date]])&gt;=4,1,0)</f>
        <v>2026</v>
      </c>
      <c r="C269" s="7">
        <f>YEAR(Table13[[#This Row],[Date]])</f>
        <v>2025</v>
      </c>
      <c r="D269" s="131">
        <f>Table13[[#This Row],[Date]]-DAY(Table13[[#This Row],[Date]])+1</f>
        <v>45992</v>
      </c>
      <c r="E269" s="7">
        <f t="shared" si="16"/>
        <v>31</v>
      </c>
      <c r="F269" s="132" t="str">
        <f>IFERROR(_xlfn.XLOOKUP($A269,'Raw Data'!$G:$G,'Raw Data'!$AM:$AM),"")</f>
        <v/>
      </c>
      <c r="G269" s="133" t="str">
        <f>IFERROR(_xlfn.XLOOKUP($A269,'Raw Data'!$G:$G,'Raw Data'!$AB:$AB),"")</f>
        <v/>
      </c>
      <c r="H269" s="133"/>
      <c r="I269" s="133" t="str">
        <f>IFERROR(_xlfn.XLOOKUP($A269,'Raw Data'!$G:$G,'Raw Data'!$AC:$AC),"")</f>
        <v/>
      </c>
      <c r="J269" s="133"/>
      <c r="K269" s="133" t="str">
        <f>IFERROR(_xlfn.XLOOKUP($A269,'Raw Data'!$G:$G,'Raw Data'!AD:AD),"")</f>
        <v/>
      </c>
      <c r="L269" s="133" t="str">
        <f>IFERROR(_xlfn.XLOOKUP($A269,'Raw Data'!$G:$G,'Raw Data'!AE:AE),"")</f>
        <v/>
      </c>
      <c r="M269" s="133" t="str">
        <f>IFERROR(_xlfn.XLOOKUP($A269,'Raw Data'!$G:$G,'Raw Data'!AF:AF),"")</f>
        <v/>
      </c>
      <c r="N269" s="133" t="str">
        <f>IFERROR(_xlfn.XLOOKUP($A269,'Raw Data'!$G:$G,'Raw Data'!AG:AG),"")</f>
        <v/>
      </c>
      <c r="O269" s="134" t="str">
        <f>IFERROR(1-SUMIF('Plant BD'!$H:$H,$A269,'Plant BD'!$AE:$AE)/($AA269+SUMIF('Plant BD'!$H:$H,$A269,'Plant BD'!$AE:$AE)),"")</f>
        <v/>
      </c>
      <c r="P269" s="134"/>
      <c r="Q269" s="135"/>
      <c r="R269" s="134" t="str">
        <f>IFERROR(1-SUMIF('Grid BD'!$H:$H,$A269,'Grid BD'!$AD:$AD)/($AA269+SUMIF('Grid BD'!$H:$H,$A269,'Grid BD'!$AD:$AD)),"")</f>
        <v/>
      </c>
      <c r="T269" s="135"/>
      <c r="U269" s="136" t="str">
        <f t="shared" si="17"/>
        <v/>
      </c>
      <c r="V269" s="136"/>
      <c r="W269" s="137" t="str">
        <f t="shared" si="18"/>
        <v/>
      </c>
      <c r="X269" s="130" t="str">
        <f>IFERROR(_xlfn.XLOOKUP($A269,'Raw Data'!$G:$G,'Raw Data'!AI:AI),"")</f>
        <v/>
      </c>
      <c r="Y269" s="130" t="str">
        <f>IFERROR(_xlfn.XLOOKUP($A269,'Raw Data'!$G:$G,'Raw Data'!AJ:AJ),"")</f>
        <v/>
      </c>
      <c r="Z269" s="130" t="str">
        <f>IFERROR(_xlfn.XLOOKUP($A269,'Raw Data'!$G:$G,'Raw Data'!AK:AK),"")</f>
        <v/>
      </c>
      <c r="AA269" s="130" t="str">
        <f>IFERROR(_xlfn.XLOOKUP($A269,'Raw Data'!$G:$G,'Raw Data'!AL:AL),"")</f>
        <v/>
      </c>
      <c r="AB269" s="130" t="str">
        <f>IFERROR(_xlfn.XLOOKUP($A269,'Raw Data'!$G:$G,'Raw Data'!H:H),"")</f>
        <v/>
      </c>
      <c r="AC269" s="76">
        <f>IFERROR(_xlfn.XLOOKUP($D269,'Modelling New'!$D:$D,'Modelling New'!P:P),"")</f>
        <v>5.2806451612903222</v>
      </c>
      <c r="AD269" s="130">
        <f>IFERROR(_xlfn.XLOOKUP($D269,'Modelling New'!$D:$D,'Modelling New'!$T:$T)*1000,"")</f>
        <v>31172.693339085006</v>
      </c>
      <c r="AE269" s="138">
        <f>IFERROR(_xlfn.XLOOKUP($D269,'Modelling New'!$D:$D,'Modelling New'!O:O),"")</f>
        <v>0.73597699552347362</v>
      </c>
      <c r="AF269" s="137">
        <f>IFERROR(_xlfn.XLOOKUP($D269,'Modelling New'!$D:$D,'Modelling New'!W:W),"")</f>
        <v>0.16193472334300082</v>
      </c>
      <c r="AG269" s="137">
        <f>IFERROR(_xlfn.XLOOKUP($D269,'Modelling New'!$D:$D,'Modelling New'!AE:AE),"")</f>
        <v>0.98040000000000005</v>
      </c>
      <c r="AH269" s="156">
        <f>IFERROR(_xlfn.XLOOKUP($D269,'Modelling New'!$D:$D,'Modelling New'!AF:AF),"")</f>
        <v>0.98</v>
      </c>
      <c r="AN269" s="134"/>
      <c r="AO269" s="137"/>
      <c r="AP269" s="137"/>
      <c r="AQ269" s="137"/>
      <c r="AR269" s="130">
        <f>'Basic Data'!$B$98/1000</f>
        <v>8.0208999999999993</v>
      </c>
    </row>
    <row r="270" spans="1:44" x14ac:dyDescent="0.3">
      <c r="A270" s="129">
        <f t="shared" si="19"/>
        <v>46013</v>
      </c>
      <c r="B270" s="130">
        <f>YEAR(Table13[[#This Row],[Date]])+IF(MONTH(Table13[[#This Row],[Date]])&gt;=4,1,0)</f>
        <v>2026</v>
      </c>
      <c r="C270" s="7">
        <f>YEAR(Table13[[#This Row],[Date]])</f>
        <v>2025</v>
      </c>
      <c r="D270" s="131">
        <f>Table13[[#This Row],[Date]]-DAY(Table13[[#This Row],[Date]])+1</f>
        <v>45992</v>
      </c>
      <c r="E270" s="7">
        <f t="shared" si="16"/>
        <v>31</v>
      </c>
      <c r="F270" s="132" t="str">
        <f>IFERROR(_xlfn.XLOOKUP($A270,'Raw Data'!$G:$G,'Raw Data'!$AM:$AM),"")</f>
        <v/>
      </c>
      <c r="G270" s="133" t="str">
        <f>IFERROR(_xlfn.XLOOKUP($A270,'Raw Data'!$G:$G,'Raw Data'!$AB:$AB),"")</f>
        <v/>
      </c>
      <c r="H270" s="133"/>
      <c r="I270" s="133" t="str">
        <f>IFERROR(_xlfn.XLOOKUP($A270,'Raw Data'!$G:$G,'Raw Data'!$AC:$AC),"")</f>
        <v/>
      </c>
      <c r="J270" s="133"/>
      <c r="K270" s="133" t="str">
        <f>IFERROR(_xlfn.XLOOKUP($A270,'Raw Data'!$G:$G,'Raw Data'!AD:AD),"")</f>
        <v/>
      </c>
      <c r="L270" s="133" t="str">
        <f>IFERROR(_xlfn.XLOOKUP($A270,'Raw Data'!$G:$G,'Raw Data'!AE:AE),"")</f>
        <v/>
      </c>
      <c r="M270" s="133" t="str">
        <f>IFERROR(_xlfn.XLOOKUP($A270,'Raw Data'!$G:$G,'Raw Data'!AF:AF),"")</f>
        <v/>
      </c>
      <c r="N270" s="133" t="str">
        <f>IFERROR(_xlfn.XLOOKUP($A270,'Raw Data'!$G:$G,'Raw Data'!AG:AG),"")</f>
        <v/>
      </c>
      <c r="O270" s="134" t="str">
        <f>IFERROR(1-SUMIF('Plant BD'!$H:$H,$A270,'Plant BD'!$AE:$AE)/($AA270+SUMIF('Plant BD'!$H:$H,$A270,'Plant BD'!$AE:$AE)),"")</f>
        <v/>
      </c>
      <c r="P270" s="134"/>
      <c r="Q270" s="135"/>
      <c r="R270" s="134" t="str">
        <f>IFERROR(1-SUMIF('Grid BD'!$H:$H,$A270,'Grid BD'!$AD:$AD)/($AA270+SUMIF('Grid BD'!$H:$H,$A270,'Grid BD'!$AD:$AD)),"")</f>
        <v/>
      </c>
      <c r="T270" s="135"/>
      <c r="U270" s="136" t="str">
        <f t="shared" si="17"/>
        <v/>
      </c>
      <c r="V270" s="136"/>
      <c r="W270" s="137" t="str">
        <f t="shared" si="18"/>
        <v/>
      </c>
      <c r="X270" s="130" t="str">
        <f>IFERROR(_xlfn.XLOOKUP($A270,'Raw Data'!$G:$G,'Raw Data'!AI:AI),"")</f>
        <v/>
      </c>
      <c r="Y270" s="130" t="str">
        <f>IFERROR(_xlfn.XLOOKUP($A270,'Raw Data'!$G:$G,'Raw Data'!AJ:AJ),"")</f>
        <v/>
      </c>
      <c r="Z270" s="130" t="str">
        <f>IFERROR(_xlfn.XLOOKUP($A270,'Raw Data'!$G:$G,'Raw Data'!AK:AK),"")</f>
        <v/>
      </c>
      <c r="AA270" s="130" t="str">
        <f>IFERROR(_xlfn.XLOOKUP($A270,'Raw Data'!$G:$G,'Raw Data'!AL:AL),"")</f>
        <v/>
      </c>
      <c r="AB270" s="130" t="str">
        <f>IFERROR(_xlfn.XLOOKUP($A270,'Raw Data'!$G:$G,'Raw Data'!H:H),"")</f>
        <v/>
      </c>
      <c r="AC270" s="76">
        <f>IFERROR(_xlfn.XLOOKUP($D270,'Modelling New'!$D:$D,'Modelling New'!P:P),"")</f>
        <v>5.2806451612903222</v>
      </c>
      <c r="AD270" s="130">
        <f>IFERROR(_xlfn.XLOOKUP($D270,'Modelling New'!$D:$D,'Modelling New'!$T:$T)*1000,"")</f>
        <v>31172.693339085006</v>
      </c>
      <c r="AE270" s="138">
        <f>IFERROR(_xlfn.XLOOKUP($D270,'Modelling New'!$D:$D,'Modelling New'!O:O),"")</f>
        <v>0.73597699552347362</v>
      </c>
      <c r="AF270" s="137">
        <f>IFERROR(_xlfn.XLOOKUP($D270,'Modelling New'!$D:$D,'Modelling New'!W:W),"")</f>
        <v>0.16193472334300082</v>
      </c>
      <c r="AG270" s="137">
        <f>IFERROR(_xlfn.XLOOKUP($D270,'Modelling New'!$D:$D,'Modelling New'!AE:AE),"")</f>
        <v>0.98040000000000005</v>
      </c>
      <c r="AH270" s="156">
        <f>IFERROR(_xlfn.XLOOKUP($D270,'Modelling New'!$D:$D,'Modelling New'!AF:AF),"")</f>
        <v>0.98</v>
      </c>
      <c r="AN270" s="134"/>
      <c r="AO270" s="137"/>
      <c r="AP270" s="137"/>
      <c r="AQ270" s="137"/>
      <c r="AR270" s="130">
        <f>'Basic Data'!$B$98/1000</f>
        <v>8.0208999999999993</v>
      </c>
    </row>
    <row r="271" spans="1:44" x14ac:dyDescent="0.3">
      <c r="A271" s="129">
        <f t="shared" si="19"/>
        <v>46014</v>
      </c>
      <c r="B271" s="130">
        <f>YEAR(Table13[[#This Row],[Date]])+IF(MONTH(Table13[[#This Row],[Date]])&gt;=4,1,0)</f>
        <v>2026</v>
      </c>
      <c r="C271" s="7">
        <f>YEAR(Table13[[#This Row],[Date]])</f>
        <v>2025</v>
      </c>
      <c r="D271" s="131">
        <f>Table13[[#This Row],[Date]]-DAY(Table13[[#This Row],[Date]])+1</f>
        <v>45992</v>
      </c>
      <c r="E271" s="7">
        <f t="shared" si="16"/>
        <v>31</v>
      </c>
      <c r="F271" s="132" t="str">
        <f>IFERROR(_xlfn.XLOOKUP($A271,'Raw Data'!$G:$G,'Raw Data'!$AM:$AM),"")</f>
        <v/>
      </c>
      <c r="G271" s="133" t="str">
        <f>IFERROR(_xlfn.XLOOKUP($A271,'Raw Data'!$G:$G,'Raw Data'!$AB:$AB),"")</f>
        <v/>
      </c>
      <c r="H271" s="133"/>
      <c r="I271" s="133" t="str">
        <f>IFERROR(_xlfn.XLOOKUP($A271,'Raw Data'!$G:$G,'Raw Data'!$AC:$AC),"")</f>
        <v/>
      </c>
      <c r="J271" s="133"/>
      <c r="K271" s="133" t="str">
        <f>IFERROR(_xlfn.XLOOKUP($A271,'Raw Data'!$G:$G,'Raw Data'!AD:AD),"")</f>
        <v/>
      </c>
      <c r="L271" s="133" t="str">
        <f>IFERROR(_xlfn.XLOOKUP($A271,'Raw Data'!$G:$G,'Raw Data'!AE:AE),"")</f>
        <v/>
      </c>
      <c r="M271" s="133" t="str">
        <f>IFERROR(_xlfn.XLOOKUP($A271,'Raw Data'!$G:$G,'Raw Data'!AF:AF),"")</f>
        <v/>
      </c>
      <c r="N271" s="133" t="str">
        <f>IFERROR(_xlfn.XLOOKUP($A271,'Raw Data'!$G:$G,'Raw Data'!AG:AG),"")</f>
        <v/>
      </c>
      <c r="O271" s="134" t="str">
        <f>IFERROR(1-SUMIF('Plant BD'!$H:$H,$A271,'Plant BD'!$AE:$AE)/($AA271+SUMIF('Plant BD'!$H:$H,$A271,'Plant BD'!$AE:$AE)),"")</f>
        <v/>
      </c>
      <c r="P271" s="134"/>
      <c r="Q271" s="135"/>
      <c r="R271" s="134" t="str">
        <f>IFERROR(1-SUMIF('Grid BD'!$H:$H,$A271,'Grid BD'!$AD:$AD)/($AA271+SUMIF('Grid BD'!$H:$H,$A271,'Grid BD'!$AD:$AD)),"")</f>
        <v/>
      </c>
      <c r="T271" s="135"/>
      <c r="U271" s="136" t="str">
        <f t="shared" si="17"/>
        <v/>
      </c>
      <c r="V271" s="136"/>
      <c r="W271" s="137" t="str">
        <f t="shared" si="18"/>
        <v/>
      </c>
      <c r="X271" s="130" t="str">
        <f>IFERROR(_xlfn.XLOOKUP($A271,'Raw Data'!$G:$G,'Raw Data'!AI:AI),"")</f>
        <v/>
      </c>
      <c r="Y271" s="130" t="str">
        <f>IFERROR(_xlfn.XLOOKUP($A271,'Raw Data'!$G:$G,'Raw Data'!AJ:AJ),"")</f>
        <v/>
      </c>
      <c r="Z271" s="130" t="str">
        <f>IFERROR(_xlfn.XLOOKUP($A271,'Raw Data'!$G:$G,'Raw Data'!AK:AK),"")</f>
        <v/>
      </c>
      <c r="AA271" s="130" t="str">
        <f>IFERROR(_xlfn.XLOOKUP($A271,'Raw Data'!$G:$G,'Raw Data'!AL:AL),"")</f>
        <v/>
      </c>
      <c r="AB271" s="130" t="str">
        <f>IFERROR(_xlfn.XLOOKUP($A271,'Raw Data'!$G:$G,'Raw Data'!H:H),"")</f>
        <v/>
      </c>
      <c r="AC271" s="76">
        <f>IFERROR(_xlfn.XLOOKUP($D271,'Modelling New'!$D:$D,'Modelling New'!P:P),"")</f>
        <v>5.2806451612903222</v>
      </c>
      <c r="AD271" s="130">
        <f>IFERROR(_xlfn.XLOOKUP($D271,'Modelling New'!$D:$D,'Modelling New'!$T:$T)*1000,"")</f>
        <v>31172.693339085006</v>
      </c>
      <c r="AE271" s="138">
        <f>IFERROR(_xlfn.XLOOKUP($D271,'Modelling New'!$D:$D,'Modelling New'!O:O),"")</f>
        <v>0.73597699552347362</v>
      </c>
      <c r="AF271" s="137">
        <f>IFERROR(_xlfn.XLOOKUP($D271,'Modelling New'!$D:$D,'Modelling New'!W:W),"")</f>
        <v>0.16193472334300082</v>
      </c>
      <c r="AG271" s="137">
        <f>IFERROR(_xlfn.XLOOKUP($D271,'Modelling New'!$D:$D,'Modelling New'!AE:AE),"")</f>
        <v>0.98040000000000005</v>
      </c>
      <c r="AH271" s="156">
        <f>IFERROR(_xlfn.XLOOKUP($D271,'Modelling New'!$D:$D,'Modelling New'!AF:AF),"")</f>
        <v>0.98</v>
      </c>
      <c r="AN271" s="134"/>
      <c r="AO271" s="137"/>
      <c r="AP271" s="137"/>
      <c r="AQ271" s="137"/>
      <c r="AR271" s="130">
        <f>'Basic Data'!$B$98/1000</f>
        <v>8.0208999999999993</v>
      </c>
    </row>
    <row r="272" spans="1:44" x14ac:dyDescent="0.3">
      <c r="A272" s="129">
        <f t="shared" si="19"/>
        <v>46015</v>
      </c>
      <c r="B272" s="130">
        <f>YEAR(Table13[[#This Row],[Date]])+IF(MONTH(Table13[[#This Row],[Date]])&gt;=4,1,0)</f>
        <v>2026</v>
      </c>
      <c r="C272" s="7">
        <f>YEAR(Table13[[#This Row],[Date]])</f>
        <v>2025</v>
      </c>
      <c r="D272" s="131">
        <f>Table13[[#This Row],[Date]]-DAY(Table13[[#This Row],[Date]])+1</f>
        <v>45992</v>
      </c>
      <c r="E272" s="7">
        <f t="shared" si="16"/>
        <v>31</v>
      </c>
      <c r="F272" s="132" t="str">
        <f>IFERROR(_xlfn.XLOOKUP($A272,'Raw Data'!$G:$G,'Raw Data'!$AM:$AM),"")</f>
        <v/>
      </c>
      <c r="G272" s="133" t="str">
        <f>IFERROR(_xlfn.XLOOKUP($A272,'Raw Data'!$G:$G,'Raw Data'!$AB:$AB),"")</f>
        <v/>
      </c>
      <c r="H272" s="133"/>
      <c r="I272" s="133" t="str">
        <f>IFERROR(_xlfn.XLOOKUP($A272,'Raw Data'!$G:$G,'Raw Data'!$AC:$AC),"")</f>
        <v/>
      </c>
      <c r="J272" s="133"/>
      <c r="K272" s="133" t="str">
        <f>IFERROR(_xlfn.XLOOKUP($A272,'Raw Data'!$G:$G,'Raw Data'!AD:AD),"")</f>
        <v/>
      </c>
      <c r="L272" s="133" t="str">
        <f>IFERROR(_xlfn.XLOOKUP($A272,'Raw Data'!$G:$G,'Raw Data'!AE:AE),"")</f>
        <v/>
      </c>
      <c r="M272" s="133" t="str">
        <f>IFERROR(_xlfn.XLOOKUP($A272,'Raw Data'!$G:$G,'Raw Data'!AF:AF),"")</f>
        <v/>
      </c>
      <c r="N272" s="133" t="str">
        <f>IFERROR(_xlfn.XLOOKUP($A272,'Raw Data'!$G:$G,'Raw Data'!AG:AG),"")</f>
        <v/>
      </c>
      <c r="O272" s="134" t="str">
        <f>IFERROR(1-SUMIF('Plant BD'!$H:$H,$A272,'Plant BD'!$AE:$AE)/($AA272+SUMIF('Plant BD'!$H:$H,$A272,'Plant BD'!$AE:$AE)),"")</f>
        <v/>
      </c>
      <c r="P272" s="134"/>
      <c r="Q272" s="135"/>
      <c r="R272" s="134" t="str">
        <f>IFERROR(1-SUMIF('Grid BD'!$H:$H,$A272,'Grid BD'!$AD:$AD)/($AA272+SUMIF('Grid BD'!$H:$H,$A272,'Grid BD'!$AD:$AD)),"")</f>
        <v/>
      </c>
      <c r="T272" s="135"/>
      <c r="U272" s="136" t="str">
        <f t="shared" si="17"/>
        <v/>
      </c>
      <c r="V272" s="136"/>
      <c r="W272" s="137" t="str">
        <f t="shared" si="18"/>
        <v/>
      </c>
      <c r="X272" s="130" t="str">
        <f>IFERROR(_xlfn.XLOOKUP($A272,'Raw Data'!$G:$G,'Raw Data'!AI:AI),"")</f>
        <v/>
      </c>
      <c r="Y272" s="130" t="str">
        <f>IFERROR(_xlfn.XLOOKUP($A272,'Raw Data'!$G:$G,'Raw Data'!AJ:AJ),"")</f>
        <v/>
      </c>
      <c r="Z272" s="130" t="str">
        <f>IFERROR(_xlfn.XLOOKUP($A272,'Raw Data'!$G:$G,'Raw Data'!AK:AK),"")</f>
        <v/>
      </c>
      <c r="AA272" s="130" t="str">
        <f>IFERROR(_xlfn.XLOOKUP($A272,'Raw Data'!$G:$G,'Raw Data'!AL:AL),"")</f>
        <v/>
      </c>
      <c r="AB272" s="130" t="str">
        <f>IFERROR(_xlfn.XLOOKUP($A272,'Raw Data'!$G:$G,'Raw Data'!H:H),"")</f>
        <v/>
      </c>
      <c r="AC272" s="76">
        <f>IFERROR(_xlfn.XLOOKUP($D272,'Modelling New'!$D:$D,'Modelling New'!P:P),"")</f>
        <v>5.2806451612903222</v>
      </c>
      <c r="AD272" s="130">
        <f>IFERROR(_xlfn.XLOOKUP($D272,'Modelling New'!$D:$D,'Modelling New'!$T:$T)*1000,"")</f>
        <v>31172.693339085006</v>
      </c>
      <c r="AE272" s="138">
        <f>IFERROR(_xlfn.XLOOKUP($D272,'Modelling New'!$D:$D,'Modelling New'!O:O),"")</f>
        <v>0.73597699552347362</v>
      </c>
      <c r="AF272" s="137">
        <f>IFERROR(_xlfn.XLOOKUP($D272,'Modelling New'!$D:$D,'Modelling New'!W:W),"")</f>
        <v>0.16193472334300082</v>
      </c>
      <c r="AG272" s="137">
        <f>IFERROR(_xlfn.XLOOKUP($D272,'Modelling New'!$D:$D,'Modelling New'!AE:AE),"")</f>
        <v>0.98040000000000005</v>
      </c>
      <c r="AH272" s="156">
        <f>IFERROR(_xlfn.XLOOKUP($D272,'Modelling New'!$D:$D,'Modelling New'!AF:AF),"")</f>
        <v>0.98</v>
      </c>
      <c r="AN272" s="134"/>
      <c r="AO272" s="137"/>
      <c r="AP272" s="137"/>
      <c r="AQ272" s="137"/>
      <c r="AR272" s="130">
        <f>'Basic Data'!$B$98/1000</f>
        <v>8.0208999999999993</v>
      </c>
    </row>
    <row r="273" spans="1:44" x14ac:dyDescent="0.3">
      <c r="A273" s="129">
        <f t="shared" si="19"/>
        <v>46016</v>
      </c>
      <c r="B273" s="130">
        <f>YEAR(Table13[[#This Row],[Date]])+IF(MONTH(Table13[[#This Row],[Date]])&gt;=4,1,0)</f>
        <v>2026</v>
      </c>
      <c r="C273" s="7">
        <f>YEAR(Table13[[#This Row],[Date]])</f>
        <v>2025</v>
      </c>
      <c r="D273" s="131">
        <f>Table13[[#This Row],[Date]]-DAY(Table13[[#This Row],[Date]])+1</f>
        <v>45992</v>
      </c>
      <c r="E273" s="7">
        <f t="shared" si="16"/>
        <v>31</v>
      </c>
      <c r="F273" s="132" t="str">
        <f>IFERROR(_xlfn.XLOOKUP($A273,'Raw Data'!$G:$G,'Raw Data'!$AM:$AM),"")</f>
        <v/>
      </c>
      <c r="G273" s="133" t="str">
        <f>IFERROR(_xlfn.XLOOKUP($A273,'Raw Data'!$G:$G,'Raw Data'!$AB:$AB),"")</f>
        <v/>
      </c>
      <c r="H273" s="133"/>
      <c r="I273" s="133" t="str">
        <f>IFERROR(_xlfn.XLOOKUP($A273,'Raw Data'!$G:$G,'Raw Data'!$AC:$AC),"")</f>
        <v/>
      </c>
      <c r="J273" s="133"/>
      <c r="K273" s="133" t="str">
        <f>IFERROR(_xlfn.XLOOKUP($A273,'Raw Data'!$G:$G,'Raw Data'!AD:AD),"")</f>
        <v/>
      </c>
      <c r="L273" s="133" t="str">
        <f>IFERROR(_xlfn.XLOOKUP($A273,'Raw Data'!$G:$G,'Raw Data'!AE:AE),"")</f>
        <v/>
      </c>
      <c r="M273" s="133" t="str">
        <f>IFERROR(_xlfn.XLOOKUP($A273,'Raw Data'!$G:$G,'Raw Data'!AF:AF),"")</f>
        <v/>
      </c>
      <c r="N273" s="133" t="str">
        <f>IFERROR(_xlfn.XLOOKUP($A273,'Raw Data'!$G:$G,'Raw Data'!AG:AG),"")</f>
        <v/>
      </c>
      <c r="O273" s="134" t="str">
        <f>IFERROR(1-SUMIF('Plant BD'!$H:$H,$A273,'Plant BD'!$AE:$AE)/($AA273+SUMIF('Plant BD'!$H:$H,$A273,'Plant BD'!$AE:$AE)),"")</f>
        <v/>
      </c>
      <c r="P273" s="134"/>
      <c r="Q273" s="135"/>
      <c r="R273" s="134" t="str">
        <f>IFERROR(1-SUMIF('Grid BD'!$H:$H,$A273,'Grid BD'!$AD:$AD)/($AA273+SUMIF('Grid BD'!$H:$H,$A273,'Grid BD'!$AD:$AD)),"")</f>
        <v/>
      </c>
      <c r="T273" s="135"/>
      <c r="U273" s="136" t="str">
        <f t="shared" si="17"/>
        <v/>
      </c>
      <c r="V273" s="136"/>
      <c r="W273" s="137" t="str">
        <f t="shared" si="18"/>
        <v/>
      </c>
      <c r="X273" s="130" t="str">
        <f>IFERROR(_xlfn.XLOOKUP($A273,'Raw Data'!$G:$G,'Raw Data'!AI:AI),"")</f>
        <v/>
      </c>
      <c r="Y273" s="130" t="str">
        <f>IFERROR(_xlfn.XLOOKUP($A273,'Raw Data'!$G:$G,'Raw Data'!AJ:AJ),"")</f>
        <v/>
      </c>
      <c r="Z273" s="130" t="str">
        <f>IFERROR(_xlfn.XLOOKUP($A273,'Raw Data'!$G:$G,'Raw Data'!AK:AK),"")</f>
        <v/>
      </c>
      <c r="AA273" s="130" t="str">
        <f>IFERROR(_xlfn.XLOOKUP($A273,'Raw Data'!$G:$G,'Raw Data'!AL:AL),"")</f>
        <v/>
      </c>
      <c r="AB273" s="130" t="str">
        <f>IFERROR(_xlfn.XLOOKUP($A273,'Raw Data'!$G:$G,'Raw Data'!H:H),"")</f>
        <v/>
      </c>
      <c r="AC273" s="76">
        <f>IFERROR(_xlfn.XLOOKUP($D273,'Modelling New'!$D:$D,'Modelling New'!P:P),"")</f>
        <v>5.2806451612903222</v>
      </c>
      <c r="AD273" s="130">
        <f>IFERROR(_xlfn.XLOOKUP($D273,'Modelling New'!$D:$D,'Modelling New'!$T:$T)*1000,"")</f>
        <v>31172.693339085006</v>
      </c>
      <c r="AE273" s="138">
        <f>IFERROR(_xlfn.XLOOKUP($D273,'Modelling New'!$D:$D,'Modelling New'!O:O),"")</f>
        <v>0.73597699552347362</v>
      </c>
      <c r="AF273" s="137">
        <f>IFERROR(_xlfn.XLOOKUP($D273,'Modelling New'!$D:$D,'Modelling New'!W:W),"")</f>
        <v>0.16193472334300082</v>
      </c>
      <c r="AG273" s="137">
        <f>IFERROR(_xlfn.XLOOKUP($D273,'Modelling New'!$D:$D,'Modelling New'!AE:AE),"")</f>
        <v>0.98040000000000005</v>
      </c>
      <c r="AH273" s="156">
        <f>IFERROR(_xlfn.XLOOKUP($D273,'Modelling New'!$D:$D,'Modelling New'!AF:AF),"")</f>
        <v>0.98</v>
      </c>
      <c r="AN273" s="134"/>
      <c r="AO273" s="137"/>
      <c r="AP273" s="137"/>
      <c r="AQ273" s="137"/>
      <c r="AR273" s="130">
        <f>'Basic Data'!$B$98/1000</f>
        <v>8.0208999999999993</v>
      </c>
    </row>
    <row r="274" spans="1:44" x14ac:dyDescent="0.3">
      <c r="A274" s="129">
        <f t="shared" si="19"/>
        <v>46017</v>
      </c>
      <c r="B274" s="130">
        <f>YEAR(Table13[[#This Row],[Date]])+IF(MONTH(Table13[[#This Row],[Date]])&gt;=4,1,0)</f>
        <v>2026</v>
      </c>
      <c r="C274" s="7">
        <f>YEAR(Table13[[#This Row],[Date]])</f>
        <v>2025</v>
      </c>
      <c r="D274" s="131">
        <f>Table13[[#This Row],[Date]]-DAY(Table13[[#This Row],[Date]])+1</f>
        <v>45992</v>
      </c>
      <c r="E274" s="7">
        <f t="shared" si="16"/>
        <v>31</v>
      </c>
      <c r="F274" s="132" t="str">
        <f>IFERROR(_xlfn.XLOOKUP($A274,'Raw Data'!$G:$G,'Raw Data'!$AM:$AM),"")</f>
        <v/>
      </c>
      <c r="G274" s="133" t="str">
        <f>IFERROR(_xlfn.XLOOKUP($A274,'Raw Data'!$G:$G,'Raw Data'!$AB:$AB),"")</f>
        <v/>
      </c>
      <c r="H274" s="133"/>
      <c r="I274" s="133" t="str">
        <f>IFERROR(_xlfn.XLOOKUP($A274,'Raw Data'!$G:$G,'Raw Data'!$AC:$AC),"")</f>
        <v/>
      </c>
      <c r="J274" s="133"/>
      <c r="K274" s="133" t="str">
        <f>IFERROR(_xlfn.XLOOKUP($A274,'Raw Data'!$G:$G,'Raw Data'!AD:AD),"")</f>
        <v/>
      </c>
      <c r="L274" s="133" t="str">
        <f>IFERROR(_xlfn.XLOOKUP($A274,'Raw Data'!$G:$G,'Raw Data'!AE:AE),"")</f>
        <v/>
      </c>
      <c r="M274" s="133" t="str">
        <f>IFERROR(_xlfn.XLOOKUP($A274,'Raw Data'!$G:$G,'Raw Data'!AF:AF),"")</f>
        <v/>
      </c>
      <c r="N274" s="133" t="str">
        <f>IFERROR(_xlfn.XLOOKUP($A274,'Raw Data'!$G:$G,'Raw Data'!AG:AG),"")</f>
        <v/>
      </c>
      <c r="O274" s="134" t="str">
        <f>IFERROR(1-SUMIF('Plant BD'!$H:$H,$A274,'Plant BD'!$AE:$AE)/($AA274+SUMIF('Plant BD'!$H:$H,$A274,'Plant BD'!$AE:$AE)),"")</f>
        <v/>
      </c>
      <c r="P274" s="134"/>
      <c r="Q274" s="135"/>
      <c r="R274" s="134" t="str">
        <f>IFERROR(1-SUMIF('Grid BD'!$H:$H,$A274,'Grid BD'!$AD:$AD)/($AA274+SUMIF('Grid BD'!$H:$H,$A274,'Grid BD'!$AD:$AD)),"")</f>
        <v/>
      </c>
      <c r="T274" s="135"/>
      <c r="U274" s="136" t="str">
        <f t="shared" si="17"/>
        <v/>
      </c>
      <c r="V274" s="136"/>
      <c r="W274" s="137" t="str">
        <f t="shared" si="18"/>
        <v/>
      </c>
      <c r="X274" s="130" t="str">
        <f>IFERROR(_xlfn.XLOOKUP($A274,'Raw Data'!$G:$G,'Raw Data'!AI:AI),"")</f>
        <v/>
      </c>
      <c r="Y274" s="130" t="str">
        <f>IFERROR(_xlfn.XLOOKUP($A274,'Raw Data'!$G:$G,'Raw Data'!AJ:AJ),"")</f>
        <v/>
      </c>
      <c r="Z274" s="130" t="str">
        <f>IFERROR(_xlfn.XLOOKUP($A274,'Raw Data'!$G:$G,'Raw Data'!AK:AK),"")</f>
        <v/>
      </c>
      <c r="AA274" s="130" t="str">
        <f>IFERROR(_xlfn.XLOOKUP($A274,'Raw Data'!$G:$G,'Raw Data'!AL:AL),"")</f>
        <v/>
      </c>
      <c r="AB274" s="130" t="str">
        <f>IFERROR(_xlfn.XLOOKUP($A274,'Raw Data'!$G:$G,'Raw Data'!H:H),"")</f>
        <v/>
      </c>
      <c r="AC274" s="76">
        <f>IFERROR(_xlfn.XLOOKUP($D274,'Modelling New'!$D:$D,'Modelling New'!P:P),"")</f>
        <v>5.2806451612903222</v>
      </c>
      <c r="AD274" s="130">
        <f>IFERROR(_xlfn.XLOOKUP($D274,'Modelling New'!$D:$D,'Modelling New'!$T:$T)*1000,"")</f>
        <v>31172.693339085006</v>
      </c>
      <c r="AE274" s="138">
        <f>IFERROR(_xlfn.XLOOKUP($D274,'Modelling New'!$D:$D,'Modelling New'!O:O),"")</f>
        <v>0.73597699552347362</v>
      </c>
      <c r="AF274" s="137">
        <f>IFERROR(_xlfn.XLOOKUP($D274,'Modelling New'!$D:$D,'Modelling New'!W:W),"")</f>
        <v>0.16193472334300082</v>
      </c>
      <c r="AG274" s="137">
        <f>IFERROR(_xlfn.XLOOKUP($D274,'Modelling New'!$D:$D,'Modelling New'!AE:AE),"")</f>
        <v>0.98040000000000005</v>
      </c>
      <c r="AH274" s="156">
        <f>IFERROR(_xlfn.XLOOKUP($D274,'Modelling New'!$D:$D,'Modelling New'!AF:AF),"")</f>
        <v>0.98</v>
      </c>
      <c r="AN274" s="134"/>
      <c r="AO274" s="137"/>
      <c r="AP274" s="137"/>
      <c r="AQ274" s="137"/>
      <c r="AR274" s="130">
        <f>'Basic Data'!$B$98/1000</f>
        <v>8.0208999999999993</v>
      </c>
    </row>
    <row r="275" spans="1:44" x14ac:dyDescent="0.3">
      <c r="A275" s="129">
        <f t="shared" si="19"/>
        <v>46018</v>
      </c>
      <c r="B275" s="130">
        <f>YEAR(Table13[[#This Row],[Date]])+IF(MONTH(Table13[[#This Row],[Date]])&gt;=4,1,0)</f>
        <v>2026</v>
      </c>
      <c r="C275" s="7">
        <f>YEAR(Table13[[#This Row],[Date]])</f>
        <v>2025</v>
      </c>
      <c r="D275" s="131">
        <f>Table13[[#This Row],[Date]]-DAY(Table13[[#This Row],[Date]])+1</f>
        <v>45992</v>
      </c>
      <c r="E275" s="7">
        <f t="shared" si="16"/>
        <v>31</v>
      </c>
      <c r="F275" s="132" t="str">
        <f>IFERROR(_xlfn.XLOOKUP($A275,'Raw Data'!$G:$G,'Raw Data'!$AM:$AM),"")</f>
        <v/>
      </c>
      <c r="G275" s="133" t="str">
        <f>IFERROR(_xlfn.XLOOKUP($A275,'Raw Data'!$G:$G,'Raw Data'!$AB:$AB),"")</f>
        <v/>
      </c>
      <c r="H275" s="133"/>
      <c r="I275" s="133" t="str">
        <f>IFERROR(_xlfn.XLOOKUP($A275,'Raw Data'!$G:$G,'Raw Data'!$AC:$AC),"")</f>
        <v/>
      </c>
      <c r="J275" s="133"/>
      <c r="K275" s="133" t="str">
        <f>IFERROR(_xlfn.XLOOKUP($A275,'Raw Data'!$G:$G,'Raw Data'!AD:AD),"")</f>
        <v/>
      </c>
      <c r="L275" s="133" t="str">
        <f>IFERROR(_xlfn.XLOOKUP($A275,'Raw Data'!$G:$G,'Raw Data'!AE:AE),"")</f>
        <v/>
      </c>
      <c r="M275" s="133" t="str">
        <f>IFERROR(_xlfn.XLOOKUP($A275,'Raw Data'!$G:$G,'Raw Data'!AF:AF),"")</f>
        <v/>
      </c>
      <c r="N275" s="133" t="str">
        <f>IFERROR(_xlfn.XLOOKUP($A275,'Raw Data'!$G:$G,'Raw Data'!AG:AG),"")</f>
        <v/>
      </c>
      <c r="O275" s="134" t="str">
        <f>IFERROR(1-SUMIF('Plant BD'!$H:$H,$A275,'Plant BD'!$AE:$AE)/($AA275+SUMIF('Plant BD'!$H:$H,$A275,'Plant BD'!$AE:$AE)),"")</f>
        <v/>
      </c>
      <c r="P275" s="134"/>
      <c r="Q275" s="135"/>
      <c r="R275" s="134" t="str">
        <f>IFERROR(1-SUMIF('Grid BD'!$H:$H,$A275,'Grid BD'!$AD:$AD)/($AA275+SUMIF('Grid BD'!$H:$H,$A275,'Grid BD'!$AD:$AD)),"")</f>
        <v/>
      </c>
      <c r="T275" s="135"/>
      <c r="U275" s="136" t="str">
        <f t="shared" si="17"/>
        <v/>
      </c>
      <c r="V275" s="136"/>
      <c r="W275" s="137" t="str">
        <f t="shared" si="18"/>
        <v/>
      </c>
      <c r="X275" s="130" t="str">
        <f>IFERROR(_xlfn.XLOOKUP($A275,'Raw Data'!$G:$G,'Raw Data'!AI:AI),"")</f>
        <v/>
      </c>
      <c r="Y275" s="130" t="str">
        <f>IFERROR(_xlfn.XLOOKUP($A275,'Raw Data'!$G:$G,'Raw Data'!AJ:AJ),"")</f>
        <v/>
      </c>
      <c r="Z275" s="130" t="str">
        <f>IFERROR(_xlfn.XLOOKUP($A275,'Raw Data'!$G:$G,'Raw Data'!AK:AK),"")</f>
        <v/>
      </c>
      <c r="AA275" s="130" t="str">
        <f>IFERROR(_xlfn.XLOOKUP($A275,'Raw Data'!$G:$G,'Raw Data'!AL:AL),"")</f>
        <v/>
      </c>
      <c r="AB275" s="130" t="str">
        <f>IFERROR(_xlfn.XLOOKUP($A275,'Raw Data'!$G:$G,'Raw Data'!H:H),"")</f>
        <v/>
      </c>
      <c r="AC275" s="76">
        <f>IFERROR(_xlfn.XLOOKUP($D275,'Modelling New'!$D:$D,'Modelling New'!P:P),"")</f>
        <v>5.2806451612903222</v>
      </c>
      <c r="AD275" s="130">
        <f>IFERROR(_xlfn.XLOOKUP($D275,'Modelling New'!$D:$D,'Modelling New'!$T:$T)*1000,"")</f>
        <v>31172.693339085006</v>
      </c>
      <c r="AE275" s="138">
        <f>IFERROR(_xlfn.XLOOKUP($D275,'Modelling New'!$D:$D,'Modelling New'!O:O),"")</f>
        <v>0.73597699552347362</v>
      </c>
      <c r="AF275" s="137">
        <f>IFERROR(_xlfn.XLOOKUP($D275,'Modelling New'!$D:$D,'Modelling New'!W:W),"")</f>
        <v>0.16193472334300082</v>
      </c>
      <c r="AG275" s="137">
        <f>IFERROR(_xlfn.XLOOKUP($D275,'Modelling New'!$D:$D,'Modelling New'!AE:AE),"")</f>
        <v>0.98040000000000005</v>
      </c>
      <c r="AH275" s="156">
        <f>IFERROR(_xlfn.XLOOKUP($D275,'Modelling New'!$D:$D,'Modelling New'!AF:AF),"")</f>
        <v>0.98</v>
      </c>
      <c r="AN275" s="134"/>
      <c r="AO275" s="137"/>
      <c r="AP275" s="137"/>
      <c r="AQ275" s="137"/>
      <c r="AR275" s="130">
        <f>'Basic Data'!$B$98/1000</f>
        <v>8.0208999999999993</v>
      </c>
    </row>
    <row r="276" spans="1:44" x14ac:dyDescent="0.3">
      <c r="A276" s="129">
        <f t="shared" si="19"/>
        <v>46019</v>
      </c>
      <c r="B276" s="130">
        <f>YEAR(Table13[[#This Row],[Date]])+IF(MONTH(Table13[[#This Row],[Date]])&gt;=4,1,0)</f>
        <v>2026</v>
      </c>
      <c r="C276" s="7">
        <f>YEAR(Table13[[#This Row],[Date]])</f>
        <v>2025</v>
      </c>
      <c r="D276" s="131">
        <f>Table13[[#This Row],[Date]]-DAY(Table13[[#This Row],[Date]])+1</f>
        <v>45992</v>
      </c>
      <c r="E276" s="7">
        <f t="shared" si="16"/>
        <v>31</v>
      </c>
      <c r="F276" s="132" t="str">
        <f>IFERROR(_xlfn.XLOOKUP($A276,'Raw Data'!$G:$G,'Raw Data'!$AM:$AM),"")</f>
        <v/>
      </c>
      <c r="G276" s="133" t="str">
        <f>IFERROR(_xlfn.XLOOKUP($A276,'Raw Data'!$G:$G,'Raw Data'!$AB:$AB),"")</f>
        <v/>
      </c>
      <c r="H276" s="133"/>
      <c r="I276" s="133" t="str">
        <f>IFERROR(_xlfn.XLOOKUP($A276,'Raw Data'!$G:$G,'Raw Data'!$AC:$AC),"")</f>
        <v/>
      </c>
      <c r="J276" s="133"/>
      <c r="K276" s="133" t="str">
        <f>IFERROR(_xlfn.XLOOKUP($A276,'Raw Data'!$G:$G,'Raw Data'!AD:AD),"")</f>
        <v/>
      </c>
      <c r="L276" s="133" t="str">
        <f>IFERROR(_xlfn.XLOOKUP($A276,'Raw Data'!$G:$G,'Raw Data'!AE:AE),"")</f>
        <v/>
      </c>
      <c r="M276" s="133" t="str">
        <f>IFERROR(_xlfn.XLOOKUP($A276,'Raw Data'!$G:$G,'Raw Data'!AF:AF),"")</f>
        <v/>
      </c>
      <c r="N276" s="133" t="str">
        <f>IFERROR(_xlfn.XLOOKUP($A276,'Raw Data'!$G:$G,'Raw Data'!AG:AG),"")</f>
        <v/>
      </c>
      <c r="O276" s="134" t="str">
        <f>IFERROR(1-SUMIF('Plant BD'!$H:$H,$A276,'Plant BD'!$AE:$AE)/($AA276+SUMIF('Plant BD'!$H:$H,$A276,'Plant BD'!$AE:$AE)),"")</f>
        <v/>
      </c>
      <c r="P276" s="134"/>
      <c r="Q276" s="135"/>
      <c r="R276" s="134" t="str">
        <f>IFERROR(1-SUMIF('Grid BD'!$H:$H,$A276,'Grid BD'!$AD:$AD)/($AA276+SUMIF('Grid BD'!$H:$H,$A276,'Grid BD'!$AD:$AD)),"")</f>
        <v/>
      </c>
      <c r="T276" s="135"/>
      <c r="U276" s="136" t="str">
        <f t="shared" si="17"/>
        <v/>
      </c>
      <c r="V276" s="136"/>
      <c r="W276" s="137" t="str">
        <f t="shared" si="18"/>
        <v/>
      </c>
      <c r="X276" s="130" t="str">
        <f>IFERROR(_xlfn.XLOOKUP($A276,'Raw Data'!$G:$G,'Raw Data'!AI:AI),"")</f>
        <v/>
      </c>
      <c r="Y276" s="130" t="str">
        <f>IFERROR(_xlfn.XLOOKUP($A276,'Raw Data'!$G:$G,'Raw Data'!AJ:AJ),"")</f>
        <v/>
      </c>
      <c r="Z276" s="130" t="str">
        <f>IFERROR(_xlfn.XLOOKUP($A276,'Raw Data'!$G:$G,'Raw Data'!AK:AK),"")</f>
        <v/>
      </c>
      <c r="AA276" s="130" t="str">
        <f>IFERROR(_xlfn.XLOOKUP($A276,'Raw Data'!$G:$G,'Raw Data'!AL:AL),"")</f>
        <v/>
      </c>
      <c r="AB276" s="130" t="str">
        <f>IFERROR(_xlfn.XLOOKUP($A276,'Raw Data'!$G:$G,'Raw Data'!H:H),"")</f>
        <v/>
      </c>
      <c r="AC276" s="76">
        <f>IFERROR(_xlfn.XLOOKUP($D276,'Modelling New'!$D:$D,'Modelling New'!P:P),"")</f>
        <v>5.2806451612903222</v>
      </c>
      <c r="AD276" s="130">
        <f>IFERROR(_xlfn.XLOOKUP($D276,'Modelling New'!$D:$D,'Modelling New'!$T:$T)*1000,"")</f>
        <v>31172.693339085006</v>
      </c>
      <c r="AE276" s="138">
        <f>IFERROR(_xlfn.XLOOKUP($D276,'Modelling New'!$D:$D,'Modelling New'!O:O),"")</f>
        <v>0.73597699552347362</v>
      </c>
      <c r="AF276" s="137">
        <f>IFERROR(_xlfn.XLOOKUP($D276,'Modelling New'!$D:$D,'Modelling New'!W:W),"")</f>
        <v>0.16193472334300082</v>
      </c>
      <c r="AG276" s="137">
        <f>IFERROR(_xlfn.XLOOKUP($D276,'Modelling New'!$D:$D,'Modelling New'!AE:AE),"")</f>
        <v>0.98040000000000005</v>
      </c>
      <c r="AH276" s="156">
        <f>IFERROR(_xlfn.XLOOKUP($D276,'Modelling New'!$D:$D,'Modelling New'!AF:AF),"")</f>
        <v>0.98</v>
      </c>
      <c r="AN276" s="134"/>
      <c r="AO276" s="137"/>
      <c r="AP276" s="137"/>
      <c r="AQ276" s="137"/>
      <c r="AR276" s="130">
        <f>'Basic Data'!$B$98/1000</f>
        <v>8.0208999999999993</v>
      </c>
    </row>
    <row r="277" spans="1:44" x14ac:dyDescent="0.3">
      <c r="A277" s="129">
        <f t="shared" si="19"/>
        <v>46020</v>
      </c>
      <c r="B277" s="130">
        <f>YEAR(Table13[[#This Row],[Date]])+IF(MONTH(Table13[[#This Row],[Date]])&gt;=4,1,0)</f>
        <v>2026</v>
      </c>
      <c r="C277" s="7">
        <f>YEAR(Table13[[#This Row],[Date]])</f>
        <v>2025</v>
      </c>
      <c r="D277" s="131">
        <f>Table13[[#This Row],[Date]]-DAY(Table13[[#This Row],[Date]])+1</f>
        <v>45992</v>
      </c>
      <c r="E277" s="7">
        <f t="shared" si="16"/>
        <v>31</v>
      </c>
      <c r="F277" s="132" t="str">
        <f>IFERROR(_xlfn.XLOOKUP($A277,'Raw Data'!$G:$G,'Raw Data'!$AM:$AM),"")</f>
        <v/>
      </c>
      <c r="G277" s="133" t="str">
        <f>IFERROR(_xlfn.XLOOKUP($A277,'Raw Data'!$G:$G,'Raw Data'!$AB:$AB),"")</f>
        <v/>
      </c>
      <c r="H277" s="133"/>
      <c r="I277" s="133" t="str">
        <f>IFERROR(_xlfn.XLOOKUP($A277,'Raw Data'!$G:$G,'Raw Data'!$AC:$AC),"")</f>
        <v/>
      </c>
      <c r="J277" s="133"/>
      <c r="K277" s="133" t="str">
        <f>IFERROR(_xlfn.XLOOKUP($A277,'Raw Data'!$G:$G,'Raw Data'!AD:AD),"")</f>
        <v/>
      </c>
      <c r="L277" s="133" t="str">
        <f>IFERROR(_xlfn.XLOOKUP($A277,'Raw Data'!$G:$G,'Raw Data'!AE:AE),"")</f>
        <v/>
      </c>
      <c r="M277" s="133" t="str">
        <f>IFERROR(_xlfn.XLOOKUP($A277,'Raw Data'!$G:$G,'Raw Data'!AF:AF),"")</f>
        <v/>
      </c>
      <c r="N277" s="133" t="str">
        <f>IFERROR(_xlfn.XLOOKUP($A277,'Raw Data'!$G:$G,'Raw Data'!AG:AG),"")</f>
        <v/>
      </c>
      <c r="O277" s="134" t="str">
        <f>IFERROR(1-SUMIF('Plant BD'!$H:$H,$A277,'Plant BD'!$AE:$AE)/($AA277+SUMIF('Plant BD'!$H:$H,$A277,'Plant BD'!$AE:$AE)),"")</f>
        <v/>
      </c>
      <c r="P277" s="134"/>
      <c r="Q277" s="135"/>
      <c r="R277" s="134" t="str">
        <f>IFERROR(1-SUMIF('Grid BD'!$H:$H,$A277,'Grid BD'!$AD:$AD)/($AA277+SUMIF('Grid BD'!$H:$H,$A277,'Grid BD'!$AD:$AD)),"")</f>
        <v/>
      </c>
      <c r="T277" s="135"/>
      <c r="U277" s="136" t="str">
        <f t="shared" si="17"/>
        <v/>
      </c>
      <c r="V277" s="136"/>
      <c r="W277" s="137" t="str">
        <f t="shared" si="18"/>
        <v/>
      </c>
      <c r="X277" s="130" t="str">
        <f>IFERROR(_xlfn.XLOOKUP($A277,'Raw Data'!$G:$G,'Raw Data'!AI:AI),"")</f>
        <v/>
      </c>
      <c r="Y277" s="130" t="str">
        <f>IFERROR(_xlfn.XLOOKUP($A277,'Raw Data'!$G:$G,'Raw Data'!AJ:AJ),"")</f>
        <v/>
      </c>
      <c r="Z277" s="130" t="str">
        <f>IFERROR(_xlfn.XLOOKUP($A277,'Raw Data'!$G:$G,'Raw Data'!AK:AK),"")</f>
        <v/>
      </c>
      <c r="AA277" s="130" t="str">
        <f>IFERROR(_xlfn.XLOOKUP($A277,'Raw Data'!$G:$G,'Raw Data'!AL:AL),"")</f>
        <v/>
      </c>
      <c r="AB277" s="130" t="str">
        <f>IFERROR(_xlfn.XLOOKUP($A277,'Raw Data'!$G:$G,'Raw Data'!H:H),"")</f>
        <v/>
      </c>
      <c r="AC277" s="76">
        <f>IFERROR(_xlfn.XLOOKUP($D277,'Modelling New'!$D:$D,'Modelling New'!P:P),"")</f>
        <v>5.2806451612903222</v>
      </c>
      <c r="AD277" s="130">
        <f>IFERROR(_xlfn.XLOOKUP($D277,'Modelling New'!$D:$D,'Modelling New'!$T:$T)*1000,"")</f>
        <v>31172.693339085006</v>
      </c>
      <c r="AE277" s="138">
        <f>IFERROR(_xlfn.XLOOKUP($D277,'Modelling New'!$D:$D,'Modelling New'!O:O),"")</f>
        <v>0.73597699552347362</v>
      </c>
      <c r="AF277" s="137">
        <f>IFERROR(_xlfn.XLOOKUP($D277,'Modelling New'!$D:$D,'Modelling New'!W:W),"")</f>
        <v>0.16193472334300082</v>
      </c>
      <c r="AG277" s="137">
        <f>IFERROR(_xlfn.XLOOKUP($D277,'Modelling New'!$D:$D,'Modelling New'!AE:AE),"")</f>
        <v>0.98040000000000005</v>
      </c>
      <c r="AH277" s="156">
        <f>IFERROR(_xlfn.XLOOKUP($D277,'Modelling New'!$D:$D,'Modelling New'!AF:AF),"")</f>
        <v>0.98</v>
      </c>
      <c r="AN277" s="134"/>
      <c r="AO277" s="137"/>
      <c r="AP277" s="137"/>
      <c r="AQ277" s="137"/>
      <c r="AR277" s="130">
        <f>'Basic Data'!$B$98/1000</f>
        <v>8.0208999999999993</v>
      </c>
    </row>
    <row r="278" spans="1:44" x14ac:dyDescent="0.3">
      <c r="A278" s="129">
        <f t="shared" si="19"/>
        <v>46021</v>
      </c>
      <c r="B278" s="130">
        <f>YEAR(Table13[[#This Row],[Date]])+IF(MONTH(Table13[[#This Row],[Date]])&gt;=4,1,0)</f>
        <v>2026</v>
      </c>
      <c r="C278" s="7">
        <f>YEAR(Table13[[#This Row],[Date]])</f>
        <v>2025</v>
      </c>
      <c r="D278" s="131">
        <f>Table13[[#This Row],[Date]]-DAY(Table13[[#This Row],[Date]])+1</f>
        <v>45992</v>
      </c>
      <c r="E278" s="7">
        <f t="shared" si="16"/>
        <v>31</v>
      </c>
      <c r="F278" s="132" t="str">
        <f>IFERROR(_xlfn.XLOOKUP($A278,'Raw Data'!$G:$G,'Raw Data'!$AM:$AM),"")</f>
        <v/>
      </c>
      <c r="G278" s="133" t="str">
        <f>IFERROR(_xlfn.XLOOKUP($A278,'Raw Data'!$G:$G,'Raw Data'!$AB:$AB),"")</f>
        <v/>
      </c>
      <c r="H278" s="133"/>
      <c r="I278" s="133" t="str">
        <f>IFERROR(_xlfn.XLOOKUP($A278,'Raw Data'!$G:$G,'Raw Data'!$AC:$AC),"")</f>
        <v/>
      </c>
      <c r="J278" s="133"/>
      <c r="K278" s="133" t="str">
        <f>IFERROR(_xlfn.XLOOKUP($A278,'Raw Data'!$G:$G,'Raw Data'!AD:AD),"")</f>
        <v/>
      </c>
      <c r="L278" s="133" t="str">
        <f>IFERROR(_xlfn.XLOOKUP($A278,'Raw Data'!$G:$G,'Raw Data'!AE:AE),"")</f>
        <v/>
      </c>
      <c r="M278" s="133" t="str">
        <f>IFERROR(_xlfn.XLOOKUP($A278,'Raw Data'!$G:$G,'Raw Data'!AF:AF),"")</f>
        <v/>
      </c>
      <c r="N278" s="133" t="str">
        <f>IFERROR(_xlfn.XLOOKUP($A278,'Raw Data'!$G:$G,'Raw Data'!AG:AG),"")</f>
        <v/>
      </c>
      <c r="O278" s="134" t="str">
        <f>IFERROR(1-SUMIF('Plant BD'!$H:$H,$A278,'Plant BD'!$AE:$AE)/($AA278+SUMIF('Plant BD'!$H:$H,$A278,'Plant BD'!$AE:$AE)),"")</f>
        <v/>
      </c>
      <c r="P278" s="134"/>
      <c r="Q278" s="135"/>
      <c r="R278" s="134" t="str">
        <f>IFERROR(1-SUMIF('Grid BD'!$H:$H,$A278,'Grid BD'!$AD:$AD)/($AA278+SUMIF('Grid BD'!$H:$H,$A278,'Grid BD'!$AD:$AD)),"")</f>
        <v/>
      </c>
      <c r="T278" s="135"/>
      <c r="U278" s="136" t="str">
        <f t="shared" si="17"/>
        <v/>
      </c>
      <c r="V278" s="136"/>
      <c r="W278" s="137" t="str">
        <f t="shared" si="18"/>
        <v/>
      </c>
      <c r="X278" s="130" t="str">
        <f>IFERROR(_xlfn.XLOOKUP($A278,'Raw Data'!$G:$G,'Raw Data'!AI:AI),"")</f>
        <v/>
      </c>
      <c r="Y278" s="130" t="str">
        <f>IFERROR(_xlfn.XLOOKUP($A278,'Raw Data'!$G:$G,'Raw Data'!AJ:AJ),"")</f>
        <v/>
      </c>
      <c r="Z278" s="130" t="str">
        <f>IFERROR(_xlfn.XLOOKUP($A278,'Raw Data'!$G:$G,'Raw Data'!AK:AK),"")</f>
        <v/>
      </c>
      <c r="AA278" s="130" t="str">
        <f>IFERROR(_xlfn.XLOOKUP($A278,'Raw Data'!$G:$G,'Raw Data'!AL:AL),"")</f>
        <v/>
      </c>
      <c r="AB278" s="130" t="str">
        <f>IFERROR(_xlfn.XLOOKUP($A278,'Raw Data'!$G:$G,'Raw Data'!H:H),"")</f>
        <v/>
      </c>
      <c r="AC278" s="76">
        <f>IFERROR(_xlfn.XLOOKUP($D278,'Modelling New'!$D:$D,'Modelling New'!P:P),"")</f>
        <v>5.2806451612903222</v>
      </c>
      <c r="AD278" s="130">
        <f>IFERROR(_xlfn.XLOOKUP($D278,'Modelling New'!$D:$D,'Modelling New'!$T:$T)*1000,"")</f>
        <v>31172.693339085006</v>
      </c>
      <c r="AE278" s="138">
        <f>IFERROR(_xlfn.XLOOKUP($D278,'Modelling New'!$D:$D,'Modelling New'!O:O),"")</f>
        <v>0.73597699552347362</v>
      </c>
      <c r="AF278" s="137">
        <f>IFERROR(_xlfn.XLOOKUP($D278,'Modelling New'!$D:$D,'Modelling New'!W:W),"")</f>
        <v>0.16193472334300082</v>
      </c>
      <c r="AG278" s="137">
        <f>IFERROR(_xlfn.XLOOKUP($D278,'Modelling New'!$D:$D,'Modelling New'!AE:AE),"")</f>
        <v>0.98040000000000005</v>
      </c>
      <c r="AH278" s="156">
        <f>IFERROR(_xlfn.XLOOKUP($D278,'Modelling New'!$D:$D,'Modelling New'!AF:AF),"")</f>
        <v>0.98</v>
      </c>
      <c r="AN278" s="134"/>
      <c r="AO278" s="137"/>
      <c r="AP278" s="137"/>
      <c r="AQ278" s="137"/>
      <c r="AR278" s="130">
        <f>'Basic Data'!$B$98/1000</f>
        <v>8.0208999999999993</v>
      </c>
    </row>
    <row r="279" spans="1:44" x14ac:dyDescent="0.3">
      <c r="A279" s="129">
        <f t="shared" si="19"/>
        <v>46022</v>
      </c>
      <c r="B279" s="130">
        <f>YEAR(Table13[[#This Row],[Date]])+IF(MONTH(Table13[[#This Row],[Date]])&gt;=4,1,0)</f>
        <v>2026</v>
      </c>
      <c r="C279" s="7">
        <f>YEAR(Table13[[#This Row],[Date]])</f>
        <v>2025</v>
      </c>
      <c r="D279" s="131">
        <f>Table13[[#This Row],[Date]]-DAY(Table13[[#This Row],[Date]])+1</f>
        <v>45992</v>
      </c>
      <c r="E279" s="7">
        <f t="shared" si="16"/>
        <v>31</v>
      </c>
      <c r="F279" s="132" t="str">
        <f>IFERROR(_xlfn.XLOOKUP($A279,'Raw Data'!$G:$G,'Raw Data'!$AM:$AM),"")</f>
        <v/>
      </c>
      <c r="G279" s="133" t="str">
        <f>IFERROR(_xlfn.XLOOKUP($A279,'Raw Data'!$G:$G,'Raw Data'!$AB:$AB),"")</f>
        <v/>
      </c>
      <c r="H279" s="133"/>
      <c r="I279" s="133" t="str">
        <f>IFERROR(_xlfn.XLOOKUP($A279,'Raw Data'!$G:$G,'Raw Data'!$AC:$AC),"")</f>
        <v/>
      </c>
      <c r="J279" s="133"/>
      <c r="K279" s="133" t="str">
        <f>IFERROR(_xlfn.XLOOKUP($A279,'Raw Data'!$G:$G,'Raw Data'!AD:AD),"")</f>
        <v/>
      </c>
      <c r="L279" s="133" t="str">
        <f>IFERROR(_xlfn.XLOOKUP($A279,'Raw Data'!$G:$G,'Raw Data'!AE:AE),"")</f>
        <v/>
      </c>
      <c r="M279" s="133" t="str">
        <f>IFERROR(_xlfn.XLOOKUP($A279,'Raw Data'!$G:$G,'Raw Data'!AF:AF),"")</f>
        <v/>
      </c>
      <c r="N279" s="133" t="str">
        <f>IFERROR(_xlfn.XLOOKUP($A279,'Raw Data'!$G:$G,'Raw Data'!AG:AG),"")</f>
        <v/>
      </c>
      <c r="O279" s="134" t="str">
        <f>IFERROR(1-SUMIF('Plant BD'!$H:$H,$A279,'Plant BD'!$AE:$AE)/($AA279+SUMIF('Plant BD'!$H:$H,$A279,'Plant BD'!$AE:$AE)),"")</f>
        <v/>
      </c>
      <c r="P279" s="134"/>
      <c r="Q279" s="135"/>
      <c r="R279" s="134" t="str">
        <f>IFERROR(1-SUMIF('Grid BD'!$H:$H,$A279,'Grid BD'!$AD:$AD)/($AA279+SUMIF('Grid BD'!$H:$H,$A279,'Grid BD'!$AD:$AD)),"")</f>
        <v/>
      </c>
      <c r="T279" s="135"/>
      <c r="U279" s="136" t="str">
        <f t="shared" si="17"/>
        <v/>
      </c>
      <c r="V279" s="136"/>
      <c r="W279" s="137" t="str">
        <f t="shared" si="18"/>
        <v/>
      </c>
      <c r="X279" s="130" t="str">
        <f>IFERROR(_xlfn.XLOOKUP($A279,'Raw Data'!$G:$G,'Raw Data'!AI:AI),"")</f>
        <v/>
      </c>
      <c r="Y279" s="130" t="str">
        <f>IFERROR(_xlfn.XLOOKUP($A279,'Raw Data'!$G:$G,'Raw Data'!AJ:AJ),"")</f>
        <v/>
      </c>
      <c r="Z279" s="130" t="str">
        <f>IFERROR(_xlfn.XLOOKUP($A279,'Raw Data'!$G:$G,'Raw Data'!AK:AK),"")</f>
        <v/>
      </c>
      <c r="AA279" s="130" t="str">
        <f>IFERROR(_xlfn.XLOOKUP($A279,'Raw Data'!$G:$G,'Raw Data'!AL:AL),"")</f>
        <v/>
      </c>
      <c r="AB279" s="130" t="str">
        <f>IFERROR(_xlfn.XLOOKUP($A279,'Raw Data'!$G:$G,'Raw Data'!H:H),"")</f>
        <v/>
      </c>
      <c r="AC279" s="76">
        <f>IFERROR(_xlfn.XLOOKUP($D279,'Modelling New'!$D:$D,'Modelling New'!P:P),"")</f>
        <v>5.2806451612903222</v>
      </c>
      <c r="AD279" s="130">
        <f>IFERROR(_xlfn.XLOOKUP($D279,'Modelling New'!$D:$D,'Modelling New'!$T:$T)*1000,"")</f>
        <v>31172.693339085006</v>
      </c>
      <c r="AE279" s="138">
        <f>IFERROR(_xlfn.XLOOKUP($D279,'Modelling New'!$D:$D,'Modelling New'!O:O),"")</f>
        <v>0.73597699552347362</v>
      </c>
      <c r="AF279" s="137">
        <f>IFERROR(_xlfn.XLOOKUP($D279,'Modelling New'!$D:$D,'Modelling New'!W:W),"")</f>
        <v>0.16193472334300082</v>
      </c>
      <c r="AG279" s="137">
        <f>IFERROR(_xlfn.XLOOKUP($D279,'Modelling New'!$D:$D,'Modelling New'!AE:AE),"")</f>
        <v>0.98040000000000005</v>
      </c>
      <c r="AH279" s="156">
        <f>IFERROR(_xlfn.XLOOKUP($D279,'Modelling New'!$D:$D,'Modelling New'!AF:AF),"")</f>
        <v>0.98</v>
      </c>
      <c r="AN279" s="134"/>
      <c r="AO279" s="137"/>
      <c r="AP279" s="137"/>
      <c r="AQ279" s="137"/>
      <c r="AR279" s="130">
        <f>'Basic Data'!$B$98/1000</f>
        <v>8.0208999999999993</v>
      </c>
    </row>
    <row r="280" spans="1:44" x14ac:dyDescent="0.3">
      <c r="A280" s="129">
        <f t="shared" si="19"/>
        <v>46023</v>
      </c>
      <c r="B280" s="130">
        <f>YEAR(Table13[[#This Row],[Date]])+IF(MONTH(Table13[[#This Row],[Date]])&gt;=4,1,0)</f>
        <v>2026</v>
      </c>
      <c r="C280" s="7">
        <f>YEAR(Table13[[#This Row],[Date]])</f>
        <v>2026</v>
      </c>
      <c r="D280" s="131">
        <f>Table13[[#This Row],[Date]]-DAY(Table13[[#This Row],[Date]])+1</f>
        <v>46023</v>
      </c>
      <c r="E280" s="7">
        <f t="shared" si="16"/>
        <v>31</v>
      </c>
      <c r="F280" s="132" t="str">
        <f>IFERROR(_xlfn.XLOOKUP($A280,'Raw Data'!$G:$G,'Raw Data'!$AM:$AM),"")</f>
        <v/>
      </c>
      <c r="G280" s="133" t="str">
        <f>IFERROR(_xlfn.XLOOKUP($A280,'Raw Data'!$G:$G,'Raw Data'!$AB:$AB),"")</f>
        <v/>
      </c>
      <c r="H280" s="133"/>
      <c r="I280" s="133" t="str">
        <f>IFERROR(_xlfn.XLOOKUP($A280,'Raw Data'!$G:$G,'Raw Data'!$AC:$AC),"")</f>
        <v/>
      </c>
      <c r="J280" s="133"/>
      <c r="K280" s="133" t="str">
        <f>IFERROR(_xlfn.XLOOKUP($A280,'Raw Data'!$G:$G,'Raw Data'!AD:AD),"")</f>
        <v/>
      </c>
      <c r="L280" s="133" t="str">
        <f>IFERROR(_xlfn.XLOOKUP($A280,'Raw Data'!$G:$G,'Raw Data'!AE:AE),"")</f>
        <v/>
      </c>
      <c r="M280" s="133" t="str">
        <f>IFERROR(_xlfn.XLOOKUP($A280,'Raw Data'!$G:$G,'Raw Data'!AF:AF),"")</f>
        <v/>
      </c>
      <c r="N280" s="133" t="str">
        <f>IFERROR(_xlfn.XLOOKUP($A280,'Raw Data'!$G:$G,'Raw Data'!AG:AG),"")</f>
        <v/>
      </c>
      <c r="O280" s="134" t="str">
        <f>IFERROR(1-SUMIF('Plant BD'!$H:$H,$A280,'Plant BD'!$AE:$AE)/($AA280+SUMIF('Plant BD'!$H:$H,$A280,'Plant BD'!$AE:$AE)),"")</f>
        <v/>
      </c>
      <c r="P280" s="134"/>
      <c r="Q280" s="135"/>
      <c r="R280" s="134" t="str">
        <f>IFERROR(1-SUMIF('Grid BD'!$H:$H,$A280,'Grid BD'!$AD:$AD)/($AA280+SUMIF('Grid BD'!$H:$H,$A280,'Grid BD'!$AD:$AD)),"")</f>
        <v/>
      </c>
      <c r="T280" s="135"/>
      <c r="U280" s="136" t="str">
        <f t="shared" si="17"/>
        <v/>
      </c>
      <c r="V280" s="136"/>
      <c r="W280" s="137" t="str">
        <f t="shared" si="18"/>
        <v/>
      </c>
      <c r="X280" s="130" t="str">
        <f>IFERROR(_xlfn.XLOOKUP($A280,'Raw Data'!$G:$G,'Raw Data'!AI:AI),"")</f>
        <v/>
      </c>
      <c r="Y280" s="130" t="str">
        <f>IFERROR(_xlfn.XLOOKUP($A280,'Raw Data'!$G:$G,'Raw Data'!AJ:AJ),"")</f>
        <v/>
      </c>
      <c r="Z280" s="130" t="str">
        <f>IFERROR(_xlfn.XLOOKUP($A280,'Raw Data'!$G:$G,'Raw Data'!AK:AK),"")</f>
        <v/>
      </c>
      <c r="AA280" s="130" t="str">
        <f>IFERROR(_xlfn.XLOOKUP($A280,'Raw Data'!$G:$G,'Raw Data'!AL:AL),"")</f>
        <v/>
      </c>
      <c r="AB280" s="130" t="str">
        <f>IFERROR(_xlfn.XLOOKUP($A280,'Raw Data'!$G:$G,'Raw Data'!H:H),"")</f>
        <v/>
      </c>
      <c r="AC280" s="76">
        <f>IFERROR(_xlfn.XLOOKUP($D280,'Modelling New'!$D:$D,'Modelling New'!P:P),"")</f>
        <v>5.9322580645161294</v>
      </c>
      <c r="AD280" s="130">
        <f>IFERROR(_xlfn.XLOOKUP($D280,'Modelling New'!$D:$D,'Modelling New'!$T:$T)*1000,"")</f>
        <v>34475.662965312498</v>
      </c>
      <c r="AE280" s="138">
        <f>IFERROR(_xlfn.XLOOKUP($D280,'Modelling New'!$D:$D,'Modelling New'!O:O),"")</f>
        <v>0.72455188248968172</v>
      </c>
      <c r="AF280" s="137">
        <f>IFERROR(_xlfn.XLOOKUP($D280,'Modelling New'!$D:$D,'Modelling New'!W:W),"")</f>
        <v>0.17909286450248987</v>
      </c>
      <c r="AG280" s="137">
        <f>IFERROR(_xlfn.XLOOKUP($D280,'Modelling New'!$D:$D,'Modelling New'!AE:AE),"")</f>
        <v>0.98040000000000005</v>
      </c>
      <c r="AH280" s="156">
        <f>IFERROR(_xlfn.XLOOKUP($D280,'Modelling New'!$D:$D,'Modelling New'!AF:AF),"")</f>
        <v>0.98</v>
      </c>
      <c r="AN280" s="134"/>
      <c r="AO280" s="137"/>
      <c r="AP280" s="137"/>
      <c r="AQ280" s="137"/>
      <c r="AR280" s="130">
        <f>'Basic Data'!$B$98/1000</f>
        <v>8.0208999999999993</v>
      </c>
    </row>
    <row r="281" spans="1:44" x14ac:dyDescent="0.3">
      <c r="A281" s="129">
        <f t="shared" si="19"/>
        <v>46024</v>
      </c>
      <c r="B281" s="130">
        <f>YEAR(Table13[[#This Row],[Date]])+IF(MONTH(Table13[[#This Row],[Date]])&gt;=4,1,0)</f>
        <v>2026</v>
      </c>
      <c r="C281" s="7">
        <f>YEAR(Table13[[#This Row],[Date]])</f>
        <v>2026</v>
      </c>
      <c r="D281" s="131">
        <f>Table13[[#This Row],[Date]]-DAY(Table13[[#This Row],[Date]])+1</f>
        <v>46023</v>
      </c>
      <c r="E281" s="7">
        <f t="shared" si="16"/>
        <v>31</v>
      </c>
      <c r="F281" s="132" t="str">
        <f>IFERROR(_xlfn.XLOOKUP($A281,'Raw Data'!$G:$G,'Raw Data'!$AM:$AM),"")</f>
        <v/>
      </c>
      <c r="G281" s="133" t="str">
        <f>IFERROR(_xlfn.XLOOKUP($A281,'Raw Data'!$G:$G,'Raw Data'!$AB:$AB),"")</f>
        <v/>
      </c>
      <c r="H281" s="133"/>
      <c r="I281" s="133" t="str">
        <f>IFERROR(_xlfn.XLOOKUP($A281,'Raw Data'!$G:$G,'Raw Data'!$AC:$AC),"")</f>
        <v/>
      </c>
      <c r="J281" s="133"/>
      <c r="K281" s="133" t="str">
        <f>IFERROR(_xlfn.XLOOKUP($A281,'Raw Data'!$G:$G,'Raw Data'!AD:AD),"")</f>
        <v/>
      </c>
      <c r="L281" s="133" t="str">
        <f>IFERROR(_xlfn.XLOOKUP($A281,'Raw Data'!$G:$G,'Raw Data'!AE:AE),"")</f>
        <v/>
      </c>
      <c r="M281" s="133" t="str">
        <f>IFERROR(_xlfn.XLOOKUP($A281,'Raw Data'!$G:$G,'Raw Data'!AF:AF),"")</f>
        <v/>
      </c>
      <c r="N281" s="133" t="str">
        <f>IFERROR(_xlfn.XLOOKUP($A281,'Raw Data'!$G:$G,'Raw Data'!AG:AG),"")</f>
        <v/>
      </c>
      <c r="O281" s="134" t="str">
        <f>IFERROR(1-SUMIF('Plant BD'!$H:$H,$A281,'Plant BD'!$AE:$AE)/($AA281+SUMIF('Plant BD'!$H:$H,$A281,'Plant BD'!$AE:$AE)),"")</f>
        <v/>
      </c>
      <c r="P281" s="134"/>
      <c r="Q281" s="135"/>
      <c r="R281" s="134" t="str">
        <f>IFERROR(1-SUMIF('Grid BD'!$H:$H,$A281,'Grid BD'!$AD:$AD)/($AA281+SUMIF('Grid BD'!$H:$H,$A281,'Grid BD'!$AD:$AD)),"")</f>
        <v/>
      </c>
      <c r="T281" s="135"/>
      <c r="U281" s="136" t="str">
        <f t="shared" si="17"/>
        <v/>
      </c>
      <c r="V281" s="136"/>
      <c r="W281" s="137" t="str">
        <f t="shared" si="18"/>
        <v/>
      </c>
      <c r="X281" s="130" t="str">
        <f>IFERROR(_xlfn.XLOOKUP($A281,'Raw Data'!$G:$G,'Raw Data'!AI:AI),"")</f>
        <v/>
      </c>
      <c r="Y281" s="130" t="str">
        <f>IFERROR(_xlfn.XLOOKUP($A281,'Raw Data'!$G:$G,'Raw Data'!AJ:AJ),"")</f>
        <v/>
      </c>
      <c r="Z281" s="130" t="str">
        <f>IFERROR(_xlfn.XLOOKUP($A281,'Raw Data'!$G:$G,'Raw Data'!AK:AK),"")</f>
        <v/>
      </c>
      <c r="AA281" s="130" t="str">
        <f>IFERROR(_xlfn.XLOOKUP($A281,'Raw Data'!$G:$G,'Raw Data'!AL:AL),"")</f>
        <v/>
      </c>
      <c r="AB281" s="130" t="str">
        <f>IFERROR(_xlfn.XLOOKUP($A281,'Raw Data'!$G:$G,'Raw Data'!H:H),"")</f>
        <v/>
      </c>
      <c r="AC281" s="76">
        <f>IFERROR(_xlfn.XLOOKUP($D281,'Modelling New'!$D:$D,'Modelling New'!P:P),"")</f>
        <v>5.9322580645161294</v>
      </c>
      <c r="AD281" s="130">
        <f>IFERROR(_xlfn.XLOOKUP($D281,'Modelling New'!$D:$D,'Modelling New'!$T:$T)*1000,"")</f>
        <v>34475.662965312498</v>
      </c>
      <c r="AE281" s="138">
        <f>IFERROR(_xlfn.XLOOKUP($D281,'Modelling New'!$D:$D,'Modelling New'!O:O),"")</f>
        <v>0.72455188248968172</v>
      </c>
      <c r="AF281" s="137">
        <f>IFERROR(_xlfn.XLOOKUP($D281,'Modelling New'!$D:$D,'Modelling New'!W:W),"")</f>
        <v>0.17909286450248987</v>
      </c>
      <c r="AG281" s="137">
        <f>IFERROR(_xlfn.XLOOKUP($D281,'Modelling New'!$D:$D,'Modelling New'!AE:AE),"")</f>
        <v>0.98040000000000005</v>
      </c>
      <c r="AH281" s="156">
        <f>IFERROR(_xlfn.XLOOKUP($D281,'Modelling New'!$D:$D,'Modelling New'!AF:AF),"")</f>
        <v>0.98</v>
      </c>
      <c r="AN281" s="134"/>
      <c r="AO281" s="137"/>
      <c r="AP281" s="137"/>
      <c r="AQ281" s="137"/>
      <c r="AR281" s="130">
        <f>'Basic Data'!$B$98/1000</f>
        <v>8.0208999999999993</v>
      </c>
    </row>
    <row r="282" spans="1:44" x14ac:dyDescent="0.3">
      <c r="A282" s="129">
        <f t="shared" si="19"/>
        <v>46025</v>
      </c>
      <c r="B282" s="130">
        <f>YEAR(Table13[[#This Row],[Date]])+IF(MONTH(Table13[[#This Row],[Date]])&gt;=4,1,0)</f>
        <v>2026</v>
      </c>
      <c r="C282" s="7">
        <f>YEAR(Table13[[#This Row],[Date]])</f>
        <v>2026</v>
      </c>
      <c r="D282" s="131">
        <f>Table13[[#This Row],[Date]]-DAY(Table13[[#This Row],[Date]])+1</f>
        <v>46023</v>
      </c>
      <c r="E282" s="7">
        <f t="shared" si="16"/>
        <v>31</v>
      </c>
      <c r="F282" s="132" t="str">
        <f>IFERROR(_xlfn.XLOOKUP($A282,'Raw Data'!$G:$G,'Raw Data'!$AM:$AM),"")</f>
        <v/>
      </c>
      <c r="G282" s="133" t="str">
        <f>IFERROR(_xlfn.XLOOKUP($A282,'Raw Data'!$G:$G,'Raw Data'!$AB:$AB),"")</f>
        <v/>
      </c>
      <c r="H282" s="133"/>
      <c r="I282" s="133" t="str">
        <f>IFERROR(_xlfn.XLOOKUP($A282,'Raw Data'!$G:$G,'Raw Data'!$AC:$AC),"")</f>
        <v/>
      </c>
      <c r="J282" s="133"/>
      <c r="K282" s="133" t="str">
        <f>IFERROR(_xlfn.XLOOKUP($A282,'Raw Data'!$G:$G,'Raw Data'!AD:AD),"")</f>
        <v/>
      </c>
      <c r="L282" s="133" t="str">
        <f>IFERROR(_xlfn.XLOOKUP($A282,'Raw Data'!$G:$G,'Raw Data'!AE:AE),"")</f>
        <v/>
      </c>
      <c r="M282" s="133" t="str">
        <f>IFERROR(_xlfn.XLOOKUP($A282,'Raw Data'!$G:$G,'Raw Data'!AF:AF),"")</f>
        <v/>
      </c>
      <c r="N282" s="133" t="str">
        <f>IFERROR(_xlfn.XLOOKUP($A282,'Raw Data'!$G:$G,'Raw Data'!AG:AG),"")</f>
        <v/>
      </c>
      <c r="O282" s="134" t="str">
        <f>IFERROR(1-SUMIF('Plant BD'!$H:$H,$A282,'Plant BD'!$AE:$AE)/($AA282+SUMIF('Plant BD'!$H:$H,$A282,'Plant BD'!$AE:$AE)),"")</f>
        <v/>
      </c>
      <c r="P282" s="134"/>
      <c r="Q282" s="135"/>
      <c r="R282" s="134" t="str">
        <f>IFERROR(1-SUMIF('Grid BD'!$H:$H,$A282,'Grid BD'!$AD:$AD)/($AA282+SUMIF('Grid BD'!$H:$H,$A282,'Grid BD'!$AD:$AD)),"")</f>
        <v/>
      </c>
      <c r="T282" s="135"/>
      <c r="U282" s="136" t="str">
        <f t="shared" si="17"/>
        <v/>
      </c>
      <c r="V282" s="136"/>
      <c r="W282" s="137" t="str">
        <f t="shared" si="18"/>
        <v/>
      </c>
      <c r="X282" s="130" t="str">
        <f>IFERROR(_xlfn.XLOOKUP($A282,'Raw Data'!$G:$G,'Raw Data'!AI:AI),"")</f>
        <v/>
      </c>
      <c r="Y282" s="130" t="str">
        <f>IFERROR(_xlfn.XLOOKUP($A282,'Raw Data'!$G:$G,'Raw Data'!AJ:AJ),"")</f>
        <v/>
      </c>
      <c r="Z282" s="130" t="str">
        <f>IFERROR(_xlfn.XLOOKUP($A282,'Raw Data'!$G:$G,'Raw Data'!AK:AK),"")</f>
        <v/>
      </c>
      <c r="AA282" s="130" t="str">
        <f>IFERROR(_xlfn.XLOOKUP($A282,'Raw Data'!$G:$G,'Raw Data'!AL:AL),"")</f>
        <v/>
      </c>
      <c r="AB282" s="130" t="str">
        <f>IFERROR(_xlfn.XLOOKUP($A282,'Raw Data'!$G:$G,'Raw Data'!H:H),"")</f>
        <v/>
      </c>
      <c r="AC282" s="76">
        <f>IFERROR(_xlfn.XLOOKUP($D282,'Modelling New'!$D:$D,'Modelling New'!P:P),"")</f>
        <v>5.9322580645161294</v>
      </c>
      <c r="AD282" s="130">
        <f>IFERROR(_xlfn.XLOOKUP($D282,'Modelling New'!$D:$D,'Modelling New'!$T:$T)*1000,"")</f>
        <v>34475.662965312498</v>
      </c>
      <c r="AE282" s="138">
        <f>IFERROR(_xlfn.XLOOKUP($D282,'Modelling New'!$D:$D,'Modelling New'!O:O),"")</f>
        <v>0.72455188248968172</v>
      </c>
      <c r="AF282" s="137">
        <f>IFERROR(_xlfn.XLOOKUP($D282,'Modelling New'!$D:$D,'Modelling New'!W:W),"")</f>
        <v>0.17909286450248987</v>
      </c>
      <c r="AG282" s="137">
        <f>IFERROR(_xlfn.XLOOKUP($D282,'Modelling New'!$D:$D,'Modelling New'!AE:AE),"")</f>
        <v>0.98040000000000005</v>
      </c>
      <c r="AH282" s="156">
        <f>IFERROR(_xlfn.XLOOKUP($D282,'Modelling New'!$D:$D,'Modelling New'!AF:AF),"")</f>
        <v>0.98</v>
      </c>
      <c r="AN282" s="134"/>
      <c r="AO282" s="137"/>
      <c r="AP282" s="137"/>
      <c r="AQ282" s="137"/>
      <c r="AR282" s="130">
        <f>'Basic Data'!$B$98/1000</f>
        <v>8.0208999999999993</v>
      </c>
    </row>
    <row r="283" spans="1:44" x14ac:dyDescent="0.3">
      <c r="A283" s="129">
        <f t="shared" si="19"/>
        <v>46026</v>
      </c>
      <c r="B283" s="130">
        <f>YEAR(Table13[[#This Row],[Date]])+IF(MONTH(Table13[[#This Row],[Date]])&gt;=4,1,0)</f>
        <v>2026</v>
      </c>
      <c r="C283" s="7">
        <f>YEAR(Table13[[#This Row],[Date]])</f>
        <v>2026</v>
      </c>
      <c r="D283" s="131">
        <f>Table13[[#This Row],[Date]]-DAY(Table13[[#This Row],[Date]])+1</f>
        <v>46023</v>
      </c>
      <c r="E283" s="7">
        <f t="shared" si="16"/>
        <v>31</v>
      </c>
      <c r="F283" s="132" t="str">
        <f>IFERROR(_xlfn.XLOOKUP($A283,'Raw Data'!$G:$G,'Raw Data'!$AM:$AM),"")</f>
        <v/>
      </c>
      <c r="G283" s="133" t="str">
        <f>IFERROR(_xlfn.XLOOKUP($A283,'Raw Data'!$G:$G,'Raw Data'!$AB:$AB),"")</f>
        <v/>
      </c>
      <c r="H283" s="133"/>
      <c r="I283" s="133" t="str">
        <f>IFERROR(_xlfn.XLOOKUP($A283,'Raw Data'!$G:$G,'Raw Data'!$AC:$AC),"")</f>
        <v/>
      </c>
      <c r="J283" s="133"/>
      <c r="K283" s="133" t="str">
        <f>IFERROR(_xlfn.XLOOKUP($A283,'Raw Data'!$G:$G,'Raw Data'!AD:AD),"")</f>
        <v/>
      </c>
      <c r="L283" s="133" t="str">
        <f>IFERROR(_xlfn.XLOOKUP($A283,'Raw Data'!$G:$G,'Raw Data'!AE:AE),"")</f>
        <v/>
      </c>
      <c r="M283" s="133" t="str">
        <f>IFERROR(_xlfn.XLOOKUP($A283,'Raw Data'!$G:$G,'Raw Data'!AF:AF),"")</f>
        <v/>
      </c>
      <c r="N283" s="133" t="str">
        <f>IFERROR(_xlfn.XLOOKUP($A283,'Raw Data'!$G:$G,'Raw Data'!AG:AG),"")</f>
        <v/>
      </c>
      <c r="O283" s="134" t="str">
        <f>IFERROR(1-SUMIF('Plant BD'!$H:$H,$A283,'Plant BD'!$AE:$AE)/($AA283+SUMIF('Plant BD'!$H:$H,$A283,'Plant BD'!$AE:$AE)),"")</f>
        <v/>
      </c>
      <c r="P283" s="134"/>
      <c r="Q283" s="135"/>
      <c r="R283" s="134" t="str">
        <f>IFERROR(1-SUMIF('Grid BD'!$H:$H,$A283,'Grid BD'!$AD:$AD)/($AA283+SUMIF('Grid BD'!$H:$H,$A283,'Grid BD'!$AD:$AD)),"")</f>
        <v/>
      </c>
      <c r="T283" s="135"/>
      <c r="U283" s="136" t="str">
        <f t="shared" si="17"/>
        <v/>
      </c>
      <c r="V283" s="136"/>
      <c r="W283" s="137" t="str">
        <f t="shared" si="18"/>
        <v/>
      </c>
      <c r="X283" s="130" t="str">
        <f>IFERROR(_xlfn.XLOOKUP($A283,'Raw Data'!$G:$G,'Raw Data'!AI:AI),"")</f>
        <v/>
      </c>
      <c r="Y283" s="130" t="str">
        <f>IFERROR(_xlfn.XLOOKUP($A283,'Raw Data'!$G:$G,'Raw Data'!AJ:AJ),"")</f>
        <v/>
      </c>
      <c r="Z283" s="130" t="str">
        <f>IFERROR(_xlfn.XLOOKUP($A283,'Raw Data'!$G:$G,'Raw Data'!AK:AK),"")</f>
        <v/>
      </c>
      <c r="AA283" s="130" t="str">
        <f>IFERROR(_xlfn.XLOOKUP($A283,'Raw Data'!$G:$G,'Raw Data'!AL:AL),"")</f>
        <v/>
      </c>
      <c r="AB283" s="130" t="str">
        <f>IFERROR(_xlfn.XLOOKUP($A283,'Raw Data'!$G:$G,'Raw Data'!H:H),"")</f>
        <v/>
      </c>
      <c r="AC283" s="76">
        <f>IFERROR(_xlfn.XLOOKUP($D283,'Modelling New'!$D:$D,'Modelling New'!P:P),"")</f>
        <v>5.9322580645161294</v>
      </c>
      <c r="AD283" s="130">
        <f>IFERROR(_xlfn.XLOOKUP($D283,'Modelling New'!$D:$D,'Modelling New'!$T:$T)*1000,"")</f>
        <v>34475.662965312498</v>
      </c>
      <c r="AE283" s="138">
        <f>IFERROR(_xlfn.XLOOKUP($D283,'Modelling New'!$D:$D,'Modelling New'!O:O),"")</f>
        <v>0.72455188248968172</v>
      </c>
      <c r="AF283" s="137">
        <f>IFERROR(_xlfn.XLOOKUP($D283,'Modelling New'!$D:$D,'Modelling New'!W:W),"")</f>
        <v>0.17909286450248987</v>
      </c>
      <c r="AG283" s="137">
        <f>IFERROR(_xlfn.XLOOKUP($D283,'Modelling New'!$D:$D,'Modelling New'!AE:AE),"")</f>
        <v>0.98040000000000005</v>
      </c>
      <c r="AH283" s="156">
        <f>IFERROR(_xlfn.XLOOKUP($D283,'Modelling New'!$D:$D,'Modelling New'!AF:AF),"")</f>
        <v>0.98</v>
      </c>
      <c r="AN283" s="134"/>
      <c r="AO283" s="137"/>
      <c r="AP283" s="137"/>
      <c r="AQ283" s="137"/>
      <c r="AR283" s="130">
        <f>'Basic Data'!$B$98/1000</f>
        <v>8.0208999999999993</v>
      </c>
    </row>
    <row r="284" spans="1:44" x14ac:dyDescent="0.3">
      <c r="A284" s="129">
        <f t="shared" si="19"/>
        <v>46027</v>
      </c>
      <c r="B284" s="130">
        <f>YEAR(Table13[[#This Row],[Date]])+IF(MONTH(Table13[[#This Row],[Date]])&gt;=4,1,0)</f>
        <v>2026</v>
      </c>
      <c r="C284" s="7">
        <f>YEAR(Table13[[#This Row],[Date]])</f>
        <v>2026</v>
      </c>
      <c r="D284" s="131">
        <f>Table13[[#This Row],[Date]]-DAY(Table13[[#This Row],[Date]])+1</f>
        <v>46023</v>
      </c>
      <c r="E284" s="7">
        <f t="shared" si="16"/>
        <v>31</v>
      </c>
      <c r="F284" s="132" t="str">
        <f>IFERROR(_xlfn.XLOOKUP($A284,'Raw Data'!$G:$G,'Raw Data'!$AM:$AM),"")</f>
        <v/>
      </c>
      <c r="G284" s="133" t="str">
        <f>IFERROR(_xlfn.XLOOKUP($A284,'Raw Data'!$G:$G,'Raw Data'!$AB:$AB),"")</f>
        <v/>
      </c>
      <c r="H284" s="133"/>
      <c r="I284" s="133" t="str">
        <f>IFERROR(_xlfn.XLOOKUP($A284,'Raw Data'!$G:$G,'Raw Data'!$AC:$AC),"")</f>
        <v/>
      </c>
      <c r="J284" s="133"/>
      <c r="K284" s="133" t="str">
        <f>IFERROR(_xlfn.XLOOKUP($A284,'Raw Data'!$G:$G,'Raw Data'!AD:AD),"")</f>
        <v/>
      </c>
      <c r="L284" s="133" t="str">
        <f>IFERROR(_xlfn.XLOOKUP($A284,'Raw Data'!$G:$G,'Raw Data'!AE:AE),"")</f>
        <v/>
      </c>
      <c r="M284" s="133" t="str">
        <f>IFERROR(_xlfn.XLOOKUP($A284,'Raw Data'!$G:$G,'Raw Data'!AF:AF),"")</f>
        <v/>
      </c>
      <c r="N284" s="133" t="str">
        <f>IFERROR(_xlfn.XLOOKUP($A284,'Raw Data'!$G:$G,'Raw Data'!AG:AG),"")</f>
        <v/>
      </c>
      <c r="O284" s="134" t="str">
        <f>IFERROR(1-SUMIF('Plant BD'!$H:$H,$A284,'Plant BD'!$AE:$AE)/($AA284+SUMIF('Plant BD'!$H:$H,$A284,'Plant BD'!$AE:$AE)),"")</f>
        <v/>
      </c>
      <c r="P284" s="134"/>
      <c r="Q284" s="135"/>
      <c r="R284" s="134" t="str">
        <f>IFERROR(1-SUMIF('Grid BD'!$H:$H,$A284,'Grid BD'!$AD:$AD)/($AA284+SUMIF('Grid BD'!$H:$H,$A284,'Grid BD'!$AD:$AD)),"")</f>
        <v/>
      </c>
      <c r="T284" s="135"/>
      <c r="U284" s="136" t="str">
        <f t="shared" si="17"/>
        <v/>
      </c>
      <c r="V284" s="136"/>
      <c r="W284" s="137" t="str">
        <f t="shared" si="18"/>
        <v/>
      </c>
      <c r="X284" s="130" t="str">
        <f>IFERROR(_xlfn.XLOOKUP($A284,'Raw Data'!$G:$G,'Raw Data'!AI:AI),"")</f>
        <v/>
      </c>
      <c r="Y284" s="130" t="str">
        <f>IFERROR(_xlfn.XLOOKUP($A284,'Raw Data'!$G:$G,'Raw Data'!AJ:AJ),"")</f>
        <v/>
      </c>
      <c r="Z284" s="130" t="str">
        <f>IFERROR(_xlfn.XLOOKUP($A284,'Raw Data'!$G:$G,'Raw Data'!AK:AK),"")</f>
        <v/>
      </c>
      <c r="AA284" s="130" t="str">
        <f>IFERROR(_xlfn.XLOOKUP($A284,'Raw Data'!$G:$G,'Raw Data'!AL:AL),"")</f>
        <v/>
      </c>
      <c r="AB284" s="130" t="str">
        <f>IFERROR(_xlfn.XLOOKUP($A284,'Raw Data'!$G:$G,'Raw Data'!H:H),"")</f>
        <v/>
      </c>
      <c r="AC284" s="76">
        <f>IFERROR(_xlfn.XLOOKUP($D284,'Modelling New'!$D:$D,'Modelling New'!P:P),"")</f>
        <v>5.9322580645161294</v>
      </c>
      <c r="AD284" s="130">
        <f>IFERROR(_xlfn.XLOOKUP($D284,'Modelling New'!$D:$D,'Modelling New'!$T:$T)*1000,"")</f>
        <v>34475.662965312498</v>
      </c>
      <c r="AE284" s="138">
        <f>IFERROR(_xlfn.XLOOKUP($D284,'Modelling New'!$D:$D,'Modelling New'!O:O),"")</f>
        <v>0.72455188248968172</v>
      </c>
      <c r="AF284" s="137">
        <f>IFERROR(_xlfn.XLOOKUP($D284,'Modelling New'!$D:$D,'Modelling New'!W:W),"")</f>
        <v>0.17909286450248987</v>
      </c>
      <c r="AG284" s="137">
        <f>IFERROR(_xlfn.XLOOKUP($D284,'Modelling New'!$D:$D,'Modelling New'!AE:AE),"")</f>
        <v>0.98040000000000005</v>
      </c>
      <c r="AH284" s="156">
        <f>IFERROR(_xlfn.XLOOKUP($D284,'Modelling New'!$D:$D,'Modelling New'!AF:AF),"")</f>
        <v>0.98</v>
      </c>
      <c r="AN284" s="134"/>
      <c r="AO284" s="137"/>
      <c r="AP284" s="137"/>
      <c r="AQ284" s="137"/>
      <c r="AR284" s="130">
        <f>'Basic Data'!$B$98/1000</f>
        <v>8.0208999999999993</v>
      </c>
    </row>
    <row r="285" spans="1:44" x14ac:dyDescent="0.3">
      <c r="A285" s="129">
        <f t="shared" si="19"/>
        <v>46028</v>
      </c>
      <c r="B285" s="130">
        <f>YEAR(Table13[[#This Row],[Date]])+IF(MONTH(Table13[[#This Row],[Date]])&gt;=4,1,0)</f>
        <v>2026</v>
      </c>
      <c r="C285" s="7">
        <f>YEAR(Table13[[#This Row],[Date]])</f>
        <v>2026</v>
      </c>
      <c r="D285" s="131">
        <f>Table13[[#This Row],[Date]]-DAY(Table13[[#This Row],[Date]])+1</f>
        <v>46023</v>
      </c>
      <c r="E285" s="7">
        <f t="shared" si="16"/>
        <v>31</v>
      </c>
      <c r="F285" s="132" t="str">
        <f>IFERROR(_xlfn.XLOOKUP($A285,'Raw Data'!$G:$G,'Raw Data'!$AM:$AM),"")</f>
        <v/>
      </c>
      <c r="G285" s="133" t="str">
        <f>IFERROR(_xlfn.XLOOKUP($A285,'Raw Data'!$G:$G,'Raw Data'!$AB:$AB),"")</f>
        <v/>
      </c>
      <c r="H285" s="133"/>
      <c r="I285" s="133" t="str">
        <f>IFERROR(_xlfn.XLOOKUP($A285,'Raw Data'!$G:$G,'Raw Data'!$AC:$AC),"")</f>
        <v/>
      </c>
      <c r="J285" s="133"/>
      <c r="K285" s="133" t="str">
        <f>IFERROR(_xlfn.XLOOKUP($A285,'Raw Data'!$G:$G,'Raw Data'!AD:AD),"")</f>
        <v/>
      </c>
      <c r="L285" s="133" t="str">
        <f>IFERROR(_xlfn.XLOOKUP($A285,'Raw Data'!$G:$G,'Raw Data'!AE:AE),"")</f>
        <v/>
      </c>
      <c r="M285" s="133" t="str">
        <f>IFERROR(_xlfn.XLOOKUP($A285,'Raw Data'!$G:$G,'Raw Data'!AF:AF),"")</f>
        <v/>
      </c>
      <c r="N285" s="133" t="str">
        <f>IFERROR(_xlfn.XLOOKUP($A285,'Raw Data'!$G:$G,'Raw Data'!AG:AG),"")</f>
        <v/>
      </c>
      <c r="O285" s="134" t="str">
        <f>IFERROR(1-SUMIF('Plant BD'!$H:$H,$A285,'Plant BD'!$AE:$AE)/($AA285+SUMIF('Plant BD'!$H:$H,$A285,'Plant BD'!$AE:$AE)),"")</f>
        <v/>
      </c>
      <c r="P285" s="134"/>
      <c r="Q285" s="135"/>
      <c r="R285" s="134" t="str">
        <f>IFERROR(1-SUMIF('Grid BD'!$H:$H,$A285,'Grid BD'!$AD:$AD)/($AA285+SUMIF('Grid BD'!$H:$H,$A285,'Grid BD'!$AD:$AD)),"")</f>
        <v/>
      </c>
      <c r="T285" s="135"/>
      <c r="U285" s="136" t="str">
        <f t="shared" si="17"/>
        <v/>
      </c>
      <c r="V285" s="136"/>
      <c r="W285" s="137" t="str">
        <f t="shared" si="18"/>
        <v/>
      </c>
      <c r="X285" s="130" t="str">
        <f>IFERROR(_xlfn.XLOOKUP($A285,'Raw Data'!$G:$G,'Raw Data'!AI:AI),"")</f>
        <v/>
      </c>
      <c r="Y285" s="130" t="str">
        <f>IFERROR(_xlfn.XLOOKUP($A285,'Raw Data'!$G:$G,'Raw Data'!AJ:AJ),"")</f>
        <v/>
      </c>
      <c r="Z285" s="130" t="str">
        <f>IFERROR(_xlfn.XLOOKUP($A285,'Raw Data'!$G:$G,'Raw Data'!AK:AK),"")</f>
        <v/>
      </c>
      <c r="AA285" s="130" t="str">
        <f>IFERROR(_xlfn.XLOOKUP($A285,'Raw Data'!$G:$G,'Raw Data'!AL:AL),"")</f>
        <v/>
      </c>
      <c r="AB285" s="130" t="str">
        <f>IFERROR(_xlfn.XLOOKUP($A285,'Raw Data'!$G:$G,'Raw Data'!H:H),"")</f>
        <v/>
      </c>
      <c r="AC285" s="76">
        <f>IFERROR(_xlfn.XLOOKUP($D285,'Modelling New'!$D:$D,'Modelling New'!P:P),"")</f>
        <v>5.9322580645161294</v>
      </c>
      <c r="AD285" s="130">
        <f>IFERROR(_xlfn.XLOOKUP($D285,'Modelling New'!$D:$D,'Modelling New'!$T:$T)*1000,"")</f>
        <v>34475.662965312498</v>
      </c>
      <c r="AE285" s="138">
        <f>IFERROR(_xlfn.XLOOKUP($D285,'Modelling New'!$D:$D,'Modelling New'!O:O),"")</f>
        <v>0.72455188248968172</v>
      </c>
      <c r="AF285" s="137">
        <f>IFERROR(_xlfn.XLOOKUP($D285,'Modelling New'!$D:$D,'Modelling New'!W:W),"")</f>
        <v>0.17909286450248987</v>
      </c>
      <c r="AG285" s="137">
        <f>IFERROR(_xlfn.XLOOKUP($D285,'Modelling New'!$D:$D,'Modelling New'!AE:AE),"")</f>
        <v>0.98040000000000005</v>
      </c>
      <c r="AH285" s="156">
        <f>IFERROR(_xlfn.XLOOKUP($D285,'Modelling New'!$D:$D,'Modelling New'!AF:AF),"")</f>
        <v>0.98</v>
      </c>
      <c r="AN285" s="134"/>
      <c r="AO285" s="137"/>
      <c r="AP285" s="137"/>
      <c r="AQ285" s="137"/>
      <c r="AR285" s="130">
        <f>'Basic Data'!$B$98/1000</f>
        <v>8.0208999999999993</v>
      </c>
    </row>
    <row r="286" spans="1:44" x14ac:dyDescent="0.3">
      <c r="A286" s="129">
        <f t="shared" si="19"/>
        <v>46029</v>
      </c>
      <c r="B286" s="130">
        <f>YEAR(Table13[[#This Row],[Date]])+IF(MONTH(Table13[[#This Row],[Date]])&gt;=4,1,0)</f>
        <v>2026</v>
      </c>
      <c r="C286" s="7">
        <f>YEAR(Table13[[#This Row],[Date]])</f>
        <v>2026</v>
      </c>
      <c r="D286" s="131">
        <f>Table13[[#This Row],[Date]]-DAY(Table13[[#This Row],[Date]])+1</f>
        <v>46023</v>
      </c>
      <c r="E286" s="7">
        <f t="shared" si="16"/>
        <v>31</v>
      </c>
      <c r="F286" s="132" t="str">
        <f>IFERROR(_xlfn.XLOOKUP($A286,'Raw Data'!$G:$G,'Raw Data'!$AM:$AM),"")</f>
        <v/>
      </c>
      <c r="G286" s="133" t="str">
        <f>IFERROR(_xlfn.XLOOKUP($A286,'Raw Data'!$G:$G,'Raw Data'!$AB:$AB),"")</f>
        <v/>
      </c>
      <c r="H286" s="133"/>
      <c r="I286" s="133" t="str">
        <f>IFERROR(_xlfn.XLOOKUP($A286,'Raw Data'!$G:$G,'Raw Data'!$AC:$AC),"")</f>
        <v/>
      </c>
      <c r="J286" s="133"/>
      <c r="K286" s="133" t="str">
        <f>IFERROR(_xlfn.XLOOKUP($A286,'Raw Data'!$G:$G,'Raw Data'!AD:AD),"")</f>
        <v/>
      </c>
      <c r="L286" s="133" t="str">
        <f>IFERROR(_xlfn.XLOOKUP($A286,'Raw Data'!$G:$G,'Raw Data'!AE:AE),"")</f>
        <v/>
      </c>
      <c r="M286" s="133" t="str">
        <f>IFERROR(_xlfn.XLOOKUP($A286,'Raw Data'!$G:$G,'Raw Data'!AF:AF),"")</f>
        <v/>
      </c>
      <c r="N286" s="133" t="str">
        <f>IFERROR(_xlfn.XLOOKUP($A286,'Raw Data'!$G:$G,'Raw Data'!AG:AG),"")</f>
        <v/>
      </c>
      <c r="O286" s="134" t="str">
        <f>IFERROR(1-SUMIF('Plant BD'!$H:$H,$A286,'Plant BD'!$AE:$AE)/($AA286+SUMIF('Plant BD'!$H:$H,$A286,'Plant BD'!$AE:$AE)),"")</f>
        <v/>
      </c>
      <c r="P286" s="134"/>
      <c r="Q286" s="135"/>
      <c r="R286" s="134" t="str">
        <f>IFERROR(1-SUMIF('Grid BD'!$H:$H,$A286,'Grid BD'!$AD:$AD)/($AA286+SUMIF('Grid BD'!$H:$H,$A286,'Grid BD'!$AD:$AD)),"")</f>
        <v/>
      </c>
      <c r="T286" s="135"/>
      <c r="U286" s="136" t="str">
        <f t="shared" si="17"/>
        <v/>
      </c>
      <c r="V286" s="136"/>
      <c r="W286" s="137" t="str">
        <f t="shared" si="18"/>
        <v/>
      </c>
      <c r="X286" s="130" t="str">
        <f>IFERROR(_xlfn.XLOOKUP($A286,'Raw Data'!$G:$G,'Raw Data'!AI:AI),"")</f>
        <v/>
      </c>
      <c r="Y286" s="130" t="str">
        <f>IFERROR(_xlfn.XLOOKUP($A286,'Raw Data'!$G:$G,'Raw Data'!AJ:AJ),"")</f>
        <v/>
      </c>
      <c r="Z286" s="130" t="str">
        <f>IFERROR(_xlfn.XLOOKUP($A286,'Raw Data'!$G:$G,'Raw Data'!AK:AK),"")</f>
        <v/>
      </c>
      <c r="AA286" s="130" t="str">
        <f>IFERROR(_xlfn.XLOOKUP($A286,'Raw Data'!$G:$G,'Raw Data'!AL:AL),"")</f>
        <v/>
      </c>
      <c r="AB286" s="130" t="str">
        <f>IFERROR(_xlfn.XLOOKUP($A286,'Raw Data'!$G:$G,'Raw Data'!H:H),"")</f>
        <v/>
      </c>
      <c r="AC286" s="76">
        <f>IFERROR(_xlfn.XLOOKUP($D286,'Modelling New'!$D:$D,'Modelling New'!P:P),"")</f>
        <v>5.9322580645161294</v>
      </c>
      <c r="AD286" s="130">
        <f>IFERROR(_xlfn.XLOOKUP($D286,'Modelling New'!$D:$D,'Modelling New'!$T:$T)*1000,"")</f>
        <v>34475.662965312498</v>
      </c>
      <c r="AE286" s="138">
        <f>IFERROR(_xlfn.XLOOKUP($D286,'Modelling New'!$D:$D,'Modelling New'!O:O),"")</f>
        <v>0.72455188248968172</v>
      </c>
      <c r="AF286" s="137">
        <f>IFERROR(_xlfn.XLOOKUP($D286,'Modelling New'!$D:$D,'Modelling New'!W:W),"")</f>
        <v>0.17909286450248987</v>
      </c>
      <c r="AG286" s="137">
        <f>IFERROR(_xlfn.XLOOKUP($D286,'Modelling New'!$D:$D,'Modelling New'!AE:AE),"")</f>
        <v>0.98040000000000005</v>
      </c>
      <c r="AH286" s="156">
        <f>IFERROR(_xlfn.XLOOKUP($D286,'Modelling New'!$D:$D,'Modelling New'!AF:AF),"")</f>
        <v>0.98</v>
      </c>
      <c r="AN286" s="134"/>
      <c r="AO286" s="137"/>
      <c r="AP286" s="137"/>
      <c r="AQ286" s="137"/>
      <c r="AR286" s="130">
        <f>'Basic Data'!$B$98/1000</f>
        <v>8.0208999999999993</v>
      </c>
    </row>
    <row r="287" spans="1:44" x14ac:dyDescent="0.3">
      <c r="A287" s="129">
        <f t="shared" si="19"/>
        <v>46030</v>
      </c>
      <c r="B287" s="130">
        <f>YEAR(Table13[[#This Row],[Date]])+IF(MONTH(Table13[[#This Row],[Date]])&gt;=4,1,0)</f>
        <v>2026</v>
      </c>
      <c r="C287" s="7">
        <f>YEAR(Table13[[#This Row],[Date]])</f>
        <v>2026</v>
      </c>
      <c r="D287" s="131">
        <f>Table13[[#This Row],[Date]]-DAY(Table13[[#This Row],[Date]])+1</f>
        <v>46023</v>
      </c>
      <c r="E287" s="7">
        <f t="shared" si="16"/>
        <v>31</v>
      </c>
      <c r="F287" s="132" t="str">
        <f>IFERROR(_xlfn.XLOOKUP($A287,'Raw Data'!$G:$G,'Raw Data'!$AM:$AM),"")</f>
        <v/>
      </c>
      <c r="G287" s="133" t="str">
        <f>IFERROR(_xlfn.XLOOKUP($A287,'Raw Data'!$G:$G,'Raw Data'!$AB:$AB),"")</f>
        <v/>
      </c>
      <c r="H287" s="133"/>
      <c r="I287" s="133" t="str">
        <f>IFERROR(_xlfn.XLOOKUP($A287,'Raw Data'!$G:$G,'Raw Data'!$AC:$AC),"")</f>
        <v/>
      </c>
      <c r="J287" s="133"/>
      <c r="K287" s="133" t="str">
        <f>IFERROR(_xlfn.XLOOKUP($A287,'Raw Data'!$G:$G,'Raw Data'!AD:AD),"")</f>
        <v/>
      </c>
      <c r="L287" s="133" t="str">
        <f>IFERROR(_xlfn.XLOOKUP($A287,'Raw Data'!$G:$G,'Raw Data'!AE:AE),"")</f>
        <v/>
      </c>
      <c r="M287" s="133" t="str">
        <f>IFERROR(_xlfn.XLOOKUP($A287,'Raw Data'!$G:$G,'Raw Data'!AF:AF),"")</f>
        <v/>
      </c>
      <c r="N287" s="133" t="str">
        <f>IFERROR(_xlfn.XLOOKUP($A287,'Raw Data'!$G:$G,'Raw Data'!AG:AG),"")</f>
        <v/>
      </c>
      <c r="O287" s="134" t="str">
        <f>IFERROR(1-SUMIF('Plant BD'!$H:$H,$A287,'Plant BD'!$AE:$AE)/($AA287+SUMIF('Plant BD'!$H:$H,$A287,'Plant BD'!$AE:$AE)),"")</f>
        <v/>
      </c>
      <c r="P287" s="134"/>
      <c r="Q287" s="135"/>
      <c r="R287" s="134" t="str">
        <f>IFERROR(1-SUMIF('Grid BD'!$H:$H,$A287,'Grid BD'!$AD:$AD)/($AA287+SUMIF('Grid BD'!$H:$H,$A287,'Grid BD'!$AD:$AD)),"")</f>
        <v/>
      </c>
      <c r="T287" s="135"/>
      <c r="U287" s="136" t="str">
        <f t="shared" si="17"/>
        <v/>
      </c>
      <c r="V287" s="136"/>
      <c r="W287" s="137" t="str">
        <f t="shared" si="18"/>
        <v/>
      </c>
      <c r="X287" s="130" t="str">
        <f>IFERROR(_xlfn.XLOOKUP($A287,'Raw Data'!$G:$G,'Raw Data'!AI:AI),"")</f>
        <v/>
      </c>
      <c r="Y287" s="130" t="str">
        <f>IFERROR(_xlfn.XLOOKUP($A287,'Raw Data'!$G:$G,'Raw Data'!AJ:AJ),"")</f>
        <v/>
      </c>
      <c r="Z287" s="130" t="str">
        <f>IFERROR(_xlfn.XLOOKUP($A287,'Raw Data'!$G:$G,'Raw Data'!AK:AK),"")</f>
        <v/>
      </c>
      <c r="AA287" s="130" t="str">
        <f>IFERROR(_xlfn.XLOOKUP($A287,'Raw Data'!$G:$G,'Raw Data'!AL:AL),"")</f>
        <v/>
      </c>
      <c r="AB287" s="130" t="str">
        <f>IFERROR(_xlfn.XLOOKUP($A287,'Raw Data'!$G:$G,'Raw Data'!H:H),"")</f>
        <v/>
      </c>
      <c r="AC287" s="76">
        <f>IFERROR(_xlfn.XLOOKUP($D287,'Modelling New'!$D:$D,'Modelling New'!P:P),"")</f>
        <v>5.9322580645161294</v>
      </c>
      <c r="AD287" s="130">
        <f>IFERROR(_xlfn.XLOOKUP($D287,'Modelling New'!$D:$D,'Modelling New'!$T:$T)*1000,"")</f>
        <v>34475.662965312498</v>
      </c>
      <c r="AE287" s="138">
        <f>IFERROR(_xlfn.XLOOKUP($D287,'Modelling New'!$D:$D,'Modelling New'!O:O),"")</f>
        <v>0.72455188248968172</v>
      </c>
      <c r="AF287" s="137">
        <f>IFERROR(_xlfn.XLOOKUP($D287,'Modelling New'!$D:$D,'Modelling New'!W:W),"")</f>
        <v>0.17909286450248987</v>
      </c>
      <c r="AG287" s="137">
        <f>IFERROR(_xlfn.XLOOKUP($D287,'Modelling New'!$D:$D,'Modelling New'!AE:AE),"")</f>
        <v>0.98040000000000005</v>
      </c>
      <c r="AH287" s="156">
        <f>IFERROR(_xlfn.XLOOKUP($D287,'Modelling New'!$D:$D,'Modelling New'!AF:AF),"")</f>
        <v>0.98</v>
      </c>
      <c r="AN287" s="134"/>
      <c r="AO287" s="137"/>
      <c r="AP287" s="137"/>
      <c r="AQ287" s="137"/>
      <c r="AR287" s="130">
        <f>'Basic Data'!$B$98/1000</f>
        <v>8.0208999999999993</v>
      </c>
    </row>
    <row r="288" spans="1:44" x14ac:dyDescent="0.3">
      <c r="A288" s="129">
        <f t="shared" si="19"/>
        <v>46031</v>
      </c>
      <c r="B288" s="130">
        <f>YEAR(Table13[[#This Row],[Date]])+IF(MONTH(Table13[[#This Row],[Date]])&gt;=4,1,0)</f>
        <v>2026</v>
      </c>
      <c r="C288" s="7">
        <f>YEAR(Table13[[#This Row],[Date]])</f>
        <v>2026</v>
      </c>
      <c r="D288" s="131">
        <f>Table13[[#This Row],[Date]]-DAY(Table13[[#This Row],[Date]])+1</f>
        <v>46023</v>
      </c>
      <c r="E288" s="7">
        <f t="shared" si="16"/>
        <v>31</v>
      </c>
      <c r="F288" s="132" t="str">
        <f>IFERROR(_xlfn.XLOOKUP($A288,'Raw Data'!$G:$G,'Raw Data'!$AM:$AM),"")</f>
        <v/>
      </c>
      <c r="G288" s="133" t="str">
        <f>IFERROR(_xlfn.XLOOKUP($A288,'Raw Data'!$G:$G,'Raw Data'!$AB:$AB),"")</f>
        <v/>
      </c>
      <c r="H288" s="133"/>
      <c r="I288" s="133" t="str">
        <f>IFERROR(_xlfn.XLOOKUP($A288,'Raw Data'!$G:$G,'Raw Data'!$AC:$AC),"")</f>
        <v/>
      </c>
      <c r="J288" s="133"/>
      <c r="K288" s="133" t="str">
        <f>IFERROR(_xlfn.XLOOKUP($A288,'Raw Data'!$G:$G,'Raw Data'!AD:AD),"")</f>
        <v/>
      </c>
      <c r="L288" s="133" t="str">
        <f>IFERROR(_xlfn.XLOOKUP($A288,'Raw Data'!$G:$G,'Raw Data'!AE:AE),"")</f>
        <v/>
      </c>
      <c r="M288" s="133" t="str">
        <f>IFERROR(_xlfn.XLOOKUP($A288,'Raw Data'!$G:$G,'Raw Data'!AF:AF),"")</f>
        <v/>
      </c>
      <c r="N288" s="133" t="str">
        <f>IFERROR(_xlfn.XLOOKUP($A288,'Raw Data'!$G:$G,'Raw Data'!AG:AG),"")</f>
        <v/>
      </c>
      <c r="O288" s="134" t="str">
        <f>IFERROR(1-SUMIF('Plant BD'!$H:$H,$A288,'Plant BD'!$AE:$AE)/($AA288+SUMIF('Plant BD'!$H:$H,$A288,'Plant BD'!$AE:$AE)),"")</f>
        <v/>
      </c>
      <c r="P288" s="134"/>
      <c r="Q288" s="135"/>
      <c r="R288" s="134" t="str">
        <f>IFERROR(1-SUMIF('Grid BD'!$H:$H,$A288,'Grid BD'!$AD:$AD)/($AA288+SUMIF('Grid BD'!$H:$H,$A288,'Grid BD'!$AD:$AD)),"")</f>
        <v/>
      </c>
      <c r="T288" s="135"/>
      <c r="U288" s="136" t="str">
        <f t="shared" si="17"/>
        <v/>
      </c>
      <c r="V288" s="136"/>
      <c r="W288" s="137" t="str">
        <f t="shared" si="18"/>
        <v/>
      </c>
      <c r="X288" s="130" t="str">
        <f>IFERROR(_xlfn.XLOOKUP($A288,'Raw Data'!$G:$G,'Raw Data'!AI:AI),"")</f>
        <v/>
      </c>
      <c r="Y288" s="130" t="str">
        <f>IFERROR(_xlfn.XLOOKUP($A288,'Raw Data'!$G:$G,'Raw Data'!AJ:AJ),"")</f>
        <v/>
      </c>
      <c r="Z288" s="130" t="str">
        <f>IFERROR(_xlfn.XLOOKUP($A288,'Raw Data'!$G:$G,'Raw Data'!AK:AK),"")</f>
        <v/>
      </c>
      <c r="AA288" s="130" t="str">
        <f>IFERROR(_xlfn.XLOOKUP($A288,'Raw Data'!$G:$G,'Raw Data'!AL:AL),"")</f>
        <v/>
      </c>
      <c r="AB288" s="130" t="str">
        <f>IFERROR(_xlfn.XLOOKUP($A288,'Raw Data'!$G:$G,'Raw Data'!H:H),"")</f>
        <v/>
      </c>
      <c r="AC288" s="76">
        <f>IFERROR(_xlfn.XLOOKUP($D288,'Modelling New'!$D:$D,'Modelling New'!P:P),"")</f>
        <v>5.9322580645161294</v>
      </c>
      <c r="AD288" s="130">
        <f>IFERROR(_xlfn.XLOOKUP($D288,'Modelling New'!$D:$D,'Modelling New'!$T:$T)*1000,"")</f>
        <v>34475.662965312498</v>
      </c>
      <c r="AE288" s="138">
        <f>IFERROR(_xlfn.XLOOKUP($D288,'Modelling New'!$D:$D,'Modelling New'!O:O),"")</f>
        <v>0.72455188248968172</v>
      </c>
      <c r="AF288" s="137">
        <f>IFERROR(_xlfn.XLOOKUP($D288,'Modelling New'!$D:$D,'Modelling New'!W:W),"")</f>
        <v>0.17909286450248987</v>
      </c>
      <c r="AG288" s="137">
        <f>IFERROR(_xlfn.XLOOKUP($D288,'Modelling New'!$D:$D,'Modelling New'!AE:AE),"")</f>
        <v>0.98040000000000005</v>
      </c>
      <c r="AH288" s="156">
        <f>IFERROR(_xlfn.XLOOKUP($D288,'Modelling New'!$D:$D,'Modelling New'!AF:AF),"")</f>
        <v>0.98</v>
      </c>
      <c r="AN288" s="134"/>
      <c r="AO288" s="137"/>
      <c r="AP288" s="137"/>
      <c r="AQ288" s="137"/>
      <c r="AR288" s="130">
        <f>'Basic Data'!$B$98/1000</f>
        <v>8.0208999999999993</v>
      </c>
    </row>
    <row r="289" spans="1:44" x14ac:dyDescent="0.3">
      <c r="A289" s="129">
        <f t="shared" si="19"/>
        <v>46032</v>
      </c>
      <c r="B289" s="130">
        <f>YEAR(Table13[[#This Row],[Date]])+IF(MONTH(Table13[[#This Row],[Date]])&gt;=4,1,0)</f>
        <v>2026</v>
      </c>
      <c r="C289" s="7">
        <f>YEAR(Table13[[#This Row],[Date]])</f>
        <v>2026</v>
      </c>
      <c r="D289" s="131">
        <f>Table13[[#This Row],[Date]]-DAY(Table13[[#This Row],[Date]])+1</f>
        <v>46023</v>
      </c>
      <c r="E289" s="7">
        <f t="shared" si="16"/>
        <v>31</v>
      </c>
      <c r="F289" s="132" t="str">
        <f>IFERROR(_xlfn.XLOOKUP($A289,'Raw Data'!$G:$G,'Raw Data'!$AM:$AM),"")</f>
        <v/>
      </c>
      <c r="G289" s="133" t="str">
        <f>IFERROR(_xlfn.XLOOKUP($A289,'Raw Data'!$G:$G,'Raw Data'!$AB:$AB),"")</f>
        <v/>
      </c>
      <c r="H289" s="133"/>
      <c r="I289" s="133" t="str">
        <f>IFERROR(_xlfn.XLOOKUP($A289,'Raw Data'!$G:$G,'Raw Data'!$AC:$AC),"")</f>
        <v/>
      </c>
      <c r="J289" s="133"/>
      <c r="K289" s="133" t="str">
        <f>IFERROR(_xlfn.XLOOKUP($A289,'Raw Data'!$G:$G,'Raw Data'!AD:AD),"")</f>
        <v/>
      </c>
      <c r="L289" s="133" t="str">
        <f>IFERROR(_xlfn.XLOOKUP($A289,'Raw Data'!$G:$G,'Raw Data'!AE:AE),"")</f>
        <v/>
      </c>
      <c r="M289" s="133" t="str">
        <f>IFERROR(_xlfn.XLOOKUP($A289,'Raw Data'!$G:$G,'Raw Data'!AF:AF),"")</f>
        <v/>
      </c>
      <c r="N289" s="133" t="str">
        <f>IFERROR(_xlfn.XLOOKUP($A289,'Raw Data'!$G:$G,'Raw Data'!AG:AG),"")</f>
        <v/>
      </c>
      <c r="O289" s="134" t="str">
        <f>IFERROR(1-SUMIF('Plant BD'!$H:$H,$A289,'Plant BD'!$AE:$AE)/($AA289+SUMIF('Plant BD'!$H:$H,$A289,'Plant BD'!$AE:$AE)),"")</f>
        <v/>
      </c>
      <c r="P289" s="134"/>
      <c r="Q289" s="135"/>
      <c r="R289" s="134" t="str">
        <f>IFERROR(1-SUMIF('Grid BD'!$H:$H,$A289,'Grid BD'!$AD:$AD)/($AA289+SUMIF('Grid BD'!$H:$H,$A289,'Grid BD'!$AD:$AD)),"")</f>
        <v/>
      </c>
      <c r="T289" s="135"/>
      <c r="U289" s="136" t="str">
        <f t="shared" si="17"/>
        <v/>
      </c>
      <c r="V289" s="136"/>
      <c r="W289" s="137" t="str">
        <f t="shared" si="18"/>
        <v/>
      </c>
      <c r="X289" s="130" t="str">
        <f>IFERROR(_xlfn.XLOOKUP($A289,'Raw Data'!$G:$G,'Raw Data'!AI:AI),"")</f>
        <v/>
      </c>
      <c r="Y289" s="130" t="str">
        <f>IFERROR(_xlfn.XLOOKUP($A289,'Raw Data'!$G:$G,'Raw Data'!AJ:AJ),"")</f>
        <v/>
      </c>
      <c r="Z289" s="130" t="str">
        <f>IFERROR(_xlfn.XLOOKUP($A289,'Raw Data'!$G:$G,'Raw Data'!AK:AK),"")</f>
        <v/>
      </c>
      <c r="AA289" s="130" t="str">
        <f>IFERROR(_xlfn.XLOOKUP($A289,'Raw Data'!$G:$G,'Raw Data'!AL:AL),"")</f>
        <v/>
      </c>
      <c r="AB289" s="130" t="str">
        <f>IFERROR(_xlfn.XLOOKUP($A289,'Raw Data'!$G:$G,'Raw Data'!H:H),"")</f>
        <v/>
      </c>
      <c r="AC289" s="76">
        <f>IFERROR(_xlfn.XLOOKUP($D289,'Modelling New'!$D:$D,'Modelling New'!P:P),"")</f>
        <v>5.9322580645161294</v>
      </c>
      <c r="AD289" s="130">
        <f>IFERROR(_xlfn.XLOOKUP($D289,'Modelling New'!$D:$D,'Modelling New'!$T:$T)*1000,"")</f>
        <v>34475.662965312498</v>
      </c>
      <c r="AE289" s="138">
        <f>IFERROR(_xlfn.XLOOKUP($D289,'Modelling New'!$D:$D,'Modelling New'!O:O),"")</f>
        <v>0.72455188248968172</v>
      </c>
      <c r="AF289" s="137">
        <f>IFERROR(_xlfn.XLOOKUP($D289,'Modelling New'!$D:$D,'Modelling New'!W:W),"")</f>
        <v>0.17909286450248987</v>
      </c>
      <c r="AG289" s="137">
        <f>IFERROR(_xlfn.XLOOKUP($D289,'Modelling New'!$D:$D,'Modelling New'!AE:AE),"")</f>
        <v>0.98040000000000005</v>
      </c>
      <c r="AH289" s="156">
        <f>IFERROR(_xlfn.XLOOKUP($D289,'Modelling New'!$D:$D,'Modelling New'!AF:AF),"")</f>
        <v>0.98</v>
      </c>
      <c r="AN289" s="134"/>
      <c r="AO289" s="137"/>
      <c r="AP289" s="137"/>
      <c r="AQ289" s="137"/>
      <c r="AR289" s="130">
        <f>'Basic Data'!$B$98/1000</f>
        <v>8.0208999999999993</v>
      </c>
    </row>
    <row r="290" spans="1:44" x14ac:dyDescent="0.3">
      <c r="A290" s="129">
        <f t="shared" si="19"/>
        <v>46033</v>
      </c>
      <c r="B290" s="130">
        <f>YEAR(Table13[[#This Row],[Date]])+IF(MONTH(Table13[[#This Row],[Date]])&gt;=4,1,0)</f>
        <v>2026</v>
      </c>
      <c r="C290" s="7">
        <f>YEAR(Table13[[#This Row],[Date]])</f>
        <v>2026</v>
      </c>
      <c r="D290" s="131">
        <f>Table13[[#This Row],[Date]]-DAY(Table13[[#This Row],[Date]])+1</f>
        <v>46023</v>
      </c>
      <c r="E290" s="7">
        <f t="shared" si="16"/>
        <v>31</v>
      </c>
      <c r="F290" s="132" t="str">
        <f>IFERROR(_xlfn.XLOOKUP($A290,'Raw Data'!$G:$G,'Raw Data'!$AM:$AM),"")</f>
        <v/>
      </c>
      <c r="G290" s="133" t="str">
        <f>IFERROR(_xlfn.XLOOKUP($A290,'Raw Data'!$G:$G,'Raw Data'!$AB:$AB),"")</f>
        <v/>
      </c>
      <c r="H290" s="133"/>
      <c r="I290" s="133" t="str">
        <f>IFERROR(_xlfn.XLOOKUP($A290,'Raw Data'!$G:$G,'Raw Data'!$AC:$AC),"")</f>
        <v/>
      </c>
      <c r="J290" s="133"/>
      <c r="K290" s="133" t="str">
        <f>IFERROR(_xlfn.XLOOKUP($A290,'Raw Data'!$G:$G,'Raw Data'!AD:AD),"")</f>
        <v/>
      </c>
      <c r="L290" s="133" t="str">
        <f>IFERROR(_xlfn.XLOOKUP($A290,'Raw Data'!$G:$G,'Raw Data'!AE:AE),"")</f>
        <v/>
      </c>
      <c r="M290" s="133" t="str">
        <f>IFERROR(_xlfn.XLOOKUP($A290,'Raw Data'!$G:$G,'Raw Data'!AF:AF),"")</f>
        <v/>
      </c>
      <c r="N290" s="133" t="str">
        <f>IFERROR(_xlfn.XLOOKUP($A290,'Raw Data'!$G:$G,'Raw Data'!AG:AG),"")</f>
        <v/>
      </c>
      <c r="O290" s="134" t="str">
        <f>IFERROR(1-SUMIF('Plant BD'!$H:$H,$A290,'Plant BD'!$AE:$AE)/($AA290+SUMIF('Plant BD'!$H:$H,$A290,'Plant BD'!$AE:$AE)),"")</f>
        <v/>
      </c>
      <c r="P290" s="134"/>
      <c r="Q290" s="135"/>
      <c r="R290" s="134" t="str">
        <f>IFERROR(1-SUMIF('Grid BD'!$H:$H,$A290,'Grid BD'!$AD:$AD)/($AA290+SUMIF('Grid BD'!$H:$H,$A290,'Grid BD'!$AD:$AD)),"")</f>
        <v/>
      </c>
      <c r="T290" s="135"/>
      <c r="U290" s="136" t="str">
        <f t="shared" si="17"/>
        <v/>
      </c>
      <c r="V290" s="136"/>
      <c r="W290" s="137" t="str">
        <f t="shared" si="18"/>
        <v/>
      </c>
      <c r="X290" s="130" t="str">
        <f>IFERROR(_xlfn.XLOOKUP($A290,'Raw Data'!$G:$G,'Raw Data'!AI:AI),"")</f>
        <v/>
      </c>
      <c r="Y290" s="130" t="str">
        <f>IFERROR(_xlfn.XLOOKUP($A290,'Raw Data'!$G:$G,'Raw Data'!AJ:AJ),"")</f>
        <v/>
      </c>
      <c r="Z290" s="130" t="str">
        <f>IFERROR(_xlfn.XLOOKUP($A290,'Raw Data'!$G:$G,'Raw Data'!AK:AK),"")</f>
        <v/>
      </c>
      <c r="AA290" s="130" t="str">
        <f>IFERROR(_xlfn.XLOOKUP($A290,'Raw Data'!$G:$G,'Raw Data'!AL:AL),"")</f>
        <v/>
      </c>
      <c r="AB290" s="130" t="str">
        <f>IFERROR(_xlfn.XLOOKUP($A290,'Raw Data'!$G:$G,'Raw Data'!H:H),"")</f>
        <v/>
      </c>
      <c r="AC290" s="76">
        <f>IFERROR(_xlfn.XLOOKUP($D290,'Modelling New'!$D:$D,'Modelling New'!P:P),"")</f>
        <v>5.9322580645161294</v>
      </c>
      <c r="AD290" s="130">
        <f>IFERROR(_xlfn.XLOOKUP($D290,'Modelling New'!$D:$D,'Modelling New'!$T:$T)*1000,"")</f>
        <v>34475.662965312498</v>
      </c>
      <c r="AE290" s="138">
        <f>IFERROR(_xlfn.XLOOKUP($D290,'Modelling New'!$D:$D,'Modelling New'!O:O),"")</f>
        <v>0.72455188248968172</v>
      </c>
      <c r="AF290" s="137">
        <f>IFERROR(_xlfn.XLOOKUP($D290,'Modelling New'!$D:$D,'Modelling New'!W:W),"")</f>
        <v>0.17909286450248987</v>
      </c>
      <c r="AG290" s="137">
        <f>IFERROR(_xlfn.XLOOKUP($D290,'Modelling New'!$D:$D,'Modelling New'!AE:AE),"")</f>
        <v>0.98040000000000005</v>
      </c>
      <c r="AH290" s="156">
        <f>IFERROR(_xlfn.XLOOKUP($D290,'Modelling New'!$D:$D,'Modelling New'!AF:AF),"")</f>
        <v>0.98</v>
      </c>
      <c r="AN290" s="134"/>
      <c r="AO290" s="137"/>
      <c r="AP290" s="137"/>
      <c r="AQ290" s="137"/>
      <c r="AR290" s="130">
        <f>'Basic Data'!$B$98/1000</f>
        <v>8.0208999999999993</v>
      </c>
    </row>
    <row r="291" spans="1:44" x14ac:dyDescent="0.3">
      <c r="A291" s="129">
        <f t="shared" si="19"/>
        <v>46034</v>
      </c>
      <c r="B291" s="130">
        <f>YEAR(Table13[[#This Row],[Date]])+IF(MONTH(Table13[[#This Row],[Date]])&gt;=4,1,0)</f>
        <v>2026</v>
      </c>
      <c r="C291" s="7">
        <f>YEAR(Table13[[#This Row],[Date]])</f>
        <v>2026</v>
      </c>
      <c r="D291" s="131">
        <f>Table13[[#This Row],[Date]]-DAY(Table13[[#This Row],[Date]])+1</f>
        <v>46023</v>
      </c>
      <c r="E291" s="7">
        <f t="shared" si="16"/>
        <v>31</v>
      </c>
      <c r="F291" s="132" t="str">
        <f>IFERROR(_xlfn.XLOOKUP($A291,'Raw Data'!$G:$G,'Raw Data'!$AM:$AM),"")</f>
        <v/>
      </c>
      <c r="G291" s="133" t="str">
        <f>IFERROR(_xlfn.XLOOKUP($A291,'Raw Data'!$G:$G,'Raw Data'!$AB:$AB),"")</f>
        <v/>
      </c>
      <c r="H291" s="133"/>
      <c r="I291" s="133" t="str">
        <f>IFERROR(_xlfn.XLOOKUP($A291,'Raw Data'!$G:$G,'Raw Data'!$AC:$AC),"")</f>
        <v/>
      </c>
      <c r="J291" s="133"/>
      <c r="K291" s="133" t="str">
        <f>IFERROR(_xlfn.XLOOKUP($A291,'Raw Data'!$G:$G,'Raw Data'!AD:AD),"")</f>
        <v/>
      </c>
      <c r="L291" s="133" t="str">
        <f>IFERROR(_xlfn.XLOOKUP($A291,'Raw Data'!$G:$G,'Raw Data'!AE:AE),"")</f>
        <v/>
      </c>
      <c r="M291" s="133" t="str">
        <f>IFERROR(_xlfn.XLOOKUP($A291,'Raw Data'!$G:$G,'Raw Data'!AF:AF),"")</f>
        <v/>
      </c>
      <c r="N291" s="133" t="str">
        <f>IFERROR(_xlfn.XLOOKUP($A291,'Raw Data'!$G:$G,'Raw Data'!AG:AG),"")</f>
        <v/>
      </c>
      <c r="O291" s="134" t="str">
        <f>IFERROR(1-SUMIF('Plant BD'!$H:$H,$A291,'Plant BD'!$AE:$AE)/($AA291+SUMIF('Plant BD'!$H:$H,$A291,'Plant BD'!$AE:$AE)),"")</f>
        <v/>
      </c>
      <c r="P291" s="134"/>
      <c r="Q291" s="135"/>
      <c r="R291" s="134" t="str">
        <f>IFERROR(1-SUMIF('Grid BD'!$H:$H,$A291,'Grid BD'!$AD:$AD)/($AA291+SUMIF('Grid BD'!$H:$H,$A291,'Grid BD'!$AD:$AD)),"")</f>
        <v/>
      </c>
      <c r="T291" s="135"/>
      <c r="U291" s="136" t="str">
        <f t="shared" si="17"/>
        <v/>
      </c>
      <c r="V291" s="136"/>
      <c r="W291" s="137" t="str">
        <f t="shared" si="18"/>
        <v/>
      </c>
      <c r="X291" s="130" t="str">
        <f>IFERROR(_xlfn.XLOOKUP($A291,'Raw Data'!$G:$G,'Raw Data'!AI:AI),"")</f>
        <v/>
      </c>
      <c r="Y291" s="130" t="str">
        <f>IFERROR(_xlfn.XLOOKUP($A291,'Raw Data'!$G:$G,'Raw Data'!AJ:AJ),"")</f>
        <v/>
      </c>
      <c r="Z291" s="130" t="str">
        <f>IFERROR(_xlfn.XLOOKUP($A291,'Raw Data'!$G:$G,'Raw Data'!AK:AK),"")</f>
        <v/>
      </c>
      <c r="AA291" s="130" t="str">
        <f>IFERROR(_xlfn.XLOOKUP($A291,'Raw Data'!$G:$G,'Raw Data'!AL:AL),"")</f>
        <v/>
      </c>
      <c r="AB291" s="130" t="str">
        <f>IFERROR(_xlfn.XLOOKUP($A291,'Raw Data'!$G:$G,'Raw Data'!H:H),"")</f>
        <v/>
      </c>
      <c r="AC291" s="76">
        <f>IFERROR(_xlfn.XLOOKUP($D291,'Modelling New'!$D:$D,'Modelling New'!P:P),"")</f>
        <v>5.9322580645161294</v>
      </c>
      <c r="AD291" s="130">
        <f>IFERROR(_xlfn.XLOOKUP($D291,'Modelling New'!$D:$D,'Modelling New'!$T:$T)*1000,"")</f>
        <v>34475.662965312498</v>
      </c>
      <c r="AE291" s="138">
        <f>IFERROR(_xlfn.XLOOKUP($D291,'Modelling New'!$D:$D,'Modelling New'!O:O),"")</f>
        <v>0.72455188248968172</v>
      </c>
      <c r="AF291" s="137">
        <f>IFERROR(_xlfn.XLOOKUP($D291,'Modelling New'!$D:$D,'Modelling New'!W:W),"")</f>
        <v>0.17909286450248987</v>
      </c>
      <c r="AG291" s="137">
        <f>IFERROR(_xlfn.XLOOKUP($D291,'Modelling New'!$D:$D,'Modelling New'!AE:AE),"")</f>
        <v>0.98040000000000005</v>
      </c>
      <c r="AH291" s="156">
        <f>IFERROR(_xlfn.XLOOKUP($D291,'Modelling New'!$D:$D,'Modelling New'!AF:AF),"")</f>
        <v>0.98</v>
      </c>
      <c r="AN291" s="134"/>
      <c r="AO291" s="137"/>
      <c r="AP291" s="137"/>
      <c r="AQ291" s="137"/>
      <c r="AR291" s="130">
        <f>'Basic Data'!$B$98/1000</f>
        <v>8.0208999999999993</v>
      </c>
    </row>
    <row r="292" spans="1:44" x14ac:dyDescent="0.3">
      <c r="A292" s="129">
        <f t="shared" si="19"/>
        <v>46035</v>
      </c>
      <c r="B292" s="130">
        <f>YEAR(Table13[[#This Row],[Date]])+IF(MONTH(Table13[[#This Row],[Date]])&gt;=4,1,0)</f>
        <v>2026</v>
      </c>
      <c r="C292" s="7">
        <f>YEAR(Table13[[#This Row],[Date]])</f>
        <v>2026</v>
      </c>
      <c r="D292" s="131">
        <f>Table13[[#This Row],[Date]]-DAY(Table13[[#This Row],[Date]])+1</f>
        <v>46023</v>
      </c>
      <c r="E292" s="7">
        <f t="shared" si="16"/>
        <v>31</v>
      </c>
      <c r="F292" s="132" t="str">
        <f>IFERROR(_xlfn.XLOOKUP($A292,'Raw Data'!$G:$G,'Raw Data'!$AM:$AM),"")</f>
        <v/>
      </c>
      <c r="G292" s="133" t="str">
        <f>IFERROR(_xlfn.XLOOKUP($A292,'Raw Data'!$G:$G,'Raw Data'!$AB:$AB),"")</f>
        <v/>
      </c>
      <c r="H292" s="133"/>
      <c r="I292" s="133" t="str">
        <f>IFERROR(_xlfn.XLOOKUP($A292,'Raw Data'!$G:$G,'Raw Data'!$AC:$AC),"")</f>
        <v/>
      </c>
      <c r="J292" s="133"/>
      <c r="K292" s="133" t="str">
        <f>IFERROR(_xlfn.XLOOKUP($A292,'Raw Data'!$G:$G,'Raw Data'!AD:AD),"")</f>
        <v/>
      </c>
      <c r="L292" s="133" t="str">
        <f>IFERROR(_xlfn.XLOOKUP($A292,'Raw Data'!$G:$G,'Raw Data'!AE:AE),"")</f>
        <v/>
      </c>
      <c r="M292" s="133" t="str">
        <f>IFERROR(_xlfn.XLOOKUP($A292,'Raw Data'!$G:$G,'Raw Data'!AF:AF),"")</f>
        <v/>
      </c>
      <c r="N292" s="133" t="str">
        <f>IFERROR(_xlfn.XLOOKUP($A292,'Raw Data'!$G:$G,'Raw Data'!AG:AG),"")</f>
        <v/>
      </c>
      <c r="O292" s="134" t="str">
        <f>IFERROR(1-SUMIF('Plant BD'!$H:$H,$A292,'Plant BD'!$AE:$AE)/($AA292+SUMIF('Plant BD'!$H:$H,$A292,'Plant BD'!$AE:$AE)),"")</f>
        <v/>
      </c>
      <c r="P292" s="134"/>
      <c r="Q292" s="135"/>
      <c r="R292" s="134" t="str">
        <f>IFERROR(1-SUMIF('Grid BD'!$H:$H,$A292,'Grid BD'!$AD:$AD)/($AA292+SUMIF('Grid BD'!$H:$H,$A292,'Grid BD'!$AD:$AD)),"")</f>
        <v/>
      </c>
      <c r="T292" s="135"/>
      <c r="U292" s="136" t="str">
        <f t="shared" si="17"/>
        <v/>
      </c>
      <c r="V292" s="136"/>
      <c r="W292" s="137" t="str">
        <f t="shared" si="18"/>
        <v/>
      </c>
      <c r="X292" s="130" t="str">
        <f>IFERROR(_xlfn.XLOOKUP($A292,'Raw Data'!$G:$G,'Raw Data'!AI:AI),"")</f>
        <v/>
      </c>
      <c r="Y292" s="130" t="str">
        <f>IFERROR(_xlfn.XLOOKUP($A292,'Raw Data'!$G:$G,'Raw Data'!AJ:AJ),"")</f>
        <v/>
      </c>
      <c r="Z292" s="130" t="str">
        <f>IFERROR(_xlfn.XLOOKUP($A292,'Raw Data'!$G:$G,'Raw Data'!AK:AK),"")</f>
        <v/>
      </c>
      <c r="AA292" s="130" t="str">
        <f>IFERROR(_xlfn.XLOOKUP($A292,'Raw Data'!$G:$G,'Raw Data'!AL:AL),"")</f>
        <v/>
      </c>
      <c r="AB292" s="130" t="str">
        <f>IFERROR(_xlfn.XLOOKUP($A292,'Raw Data'!$G:$G,'Raw Data'!H:H),"")</f>
        <v/>
      </c>
      <c r="AC292" s="76">
        <f>IFERROR(_xlfn.XLOOKUP($D292,'Modelling New'!$D:$D,'Modelling New'!P:P),"")</f>
        <v>5.9322580645161294</v>
      </c>
      <c r="AD292" s="130">
        <f>IFERROR(_xlfn.XLOOKUP($D292,'Modelling New'!$D:$D,'Modelling New'!$T:$T)*1000,"")</f>
        <v>34475.662965312498</v>
      </c>
      <c r="AE292" s="138">
        <f>IFERROR(_xlfn.XLOOKUP($D292,'Modelling New'!$D:$D,'Modelling New'!O:O),"")</f>
        <v>0.72455188248968172</v>
      </c>
      <c r="AF292" s="137">
        <f>IFERROR(_xlfn.XLOOKUP($D292,'Modelling New'!$D:$D,'Modelling New'!W:W),"")</f>
        <v>0.17909286450248987</v>
      </c>
      <c r="AG292" s="137">
        <f>IFERROR(_xlfn.XLOOKUP($D292,'Modelling New'!$D:$D,'Modelling New'!AE:AE),"")</f>
        <v>0.98040000000000005</v>
      </c>
      <c r="AH292" s="156">
        <f>IFERROR(_xlfn.XLOOKUP($D292,'Modelling New'!$D:$D,'Modelling New'!AF:AF),"")</f>
        <v>0.98</v>
      </c>
      <c r="AN292" s="134"/>
      <c r="AO292" s="137"/>
      <c r="AP292" s="137"/>
      <c r="AQ292" s="137"/>
      <c r="AR292" s="130">
        <f>'Basic Data'!$B$98/1000</f>
        <v>8.0208999999999993</v>
      </c>
    </row>
    <row r="293" spans="1:44" x14ac:dyDescent="0.3">
      <c r="A293" s="129">
        <f t="shared" si="19"/>
        <v>46036</v>
      </c>
      <c r="B293" s="130">
        <f>YEAR(Table13[[#This Row],[Date]])+IF(MONTH(Table13[[#This Row],[Date]])&gt;=4,1,0)</f>
        <v>2026</v>
      </c>
      <c r="C293" s="7">
        <f>YEAR(Table13[[#This Row],[Date]])</f>
        <v>2026</v>
      </c>
      <c r="D293" s="131">
        <f>Table13[[#This Row],[Date]]-DAY(Table13[[#This Row],[Date]])+1</f>
        <v>46023</v>
      </c>
      <c r="E293" s="7">
        <f t="shared" si="16"/>
        <v>31</v>
      </c>
      <c r="F293" s="132" t="str">
        <f>IFERROR(_xlfn.XLOOKUP($A293,'Raw Data'!$G:$G,'Raw Data'!$AM:$AM),"")</f>
        <v/>
      </c>
      <c r="G293" s="133" t="str">
        <f>IFERROR(_xlfn.XLOOKUP($A293,'Raw Data'!$G:$G,'Raw Data'!$AB:$AB),"")</f>
        <v/>
      </c>
      <c r="H293" s="133"/>
      <c r="I293" s="133" t="str">
        <f>IFERROR(_xlfn.XLOOKUP($A293,'Raw Data'!$G:$G,'Raw Data'!$AC:$AC),"")</f>
        <v/>
      </c>
      <c r="J293" s="133"/>
      <c r="K293" s="133" t="str">
        <f>IFERROR(_xlfn.XLOOKUP($A293,'Raw Data'!$G:$G,'Raw Data'!AD:AD),"")</f>
        <v/>
      </c>
      <c r="L293" s="133" t="str">
        <f>IFERROR(_xlfn.XLOOKUP($A293,'Raw Data'!$G:$G,'Raw Data'!AE:AE),"")</f>
        <v/>
      </c>
      <c r="M293" s="133" t="str">
        <f>IFERROR(_xlfn.XLOOKUP($A293,'Raw Data'!$G:$G,'Raw Data'!AF:AF),"")</f>
        <v/>
      </c>
      <c r="N293" s="133" t="str">
        <f>IFERROR(_xlfn.XLOOKUP($A293,'Raw Data'!$G:$G,'Raw Data'!AG:AG),"")</f>
        <v/>
      </c>
      <c r="O293" s="134" t="str">
        <f>IFERROR(1-SUMIF('Plant BD'!$H:$H,$A293,'Plant BD'!$AE:$AE)/($AA293+SUMIF('Plant BD'!$H:$H,$A293,'Plant BD'!$AE:$AE)),"")</f>
        <v/>
      </c>
      <c r="P293" s="134"/>
      <c r="Q293" s="135"/>
      <c r="R293" s="134" t="str">
        <f>IFERROR(1-SUMIF('Grid BD'!$H:$H,$A293,'Grid BD'!$AD:$AD)/($AA293+SUMIF('Grid BD'!$H:$H,$A293,'Grid BD'!$AD:$AD)),"")</f>
        <v/>
      </c>
      <c r="T293" s="135"/>
      <c r="U293" s="136" t="str">
        <f t="shared" si="17"/>
        <v/>
      </c>
      <c r="V293" s="136"/>
      <c r="W293" s="137" t="str">
        <f t="shared" si="18"/>
        <v/>
      </c>
      <c r="X293" s="130" t="str">
        <f>IFERROR(_xlfn.XLOOKUP($A293,'Raw Data'!$G:$G,'Raw Data'!AI:AI),"")</f>
        <v/>
      </c>
      <c r="Y293" s="130" t="str">
        <f>IFERROR(_xlfn.XLOOKUP($A293,'Raw Data'!$G:$G,'Raw Data'!AJ:AJ),"")</f>
        <v/>
      </c>
      <c r="Z293" s="130" t="str">
        <f>IFERROR(_xlfn.XLOOKUP($A293,'Raw Data'!$G:$G,'Raw Data'!AK:AK),"")</f>
        <v/>
      </c>
      <c r="AA293" s="130" t="str">
        <f>IFERROR(_xlfn.XLOOKUP($A293,'Raw Data'!$G:$G,'Raw Data'!AL:AL),"")</f>
        <v/>
      </c>
      <c r="AB293" s="130" t="str">
        <f>IFERROR(_xlfn.XLOOKUP($A293,'Raw Data'!$G:$G,'Raw Data'!H:H),"")</f>
        <v/>
      </c>
      <c r="AC293" s="76">
        <f>IFERROR(_xlfn.XLOOKUP($D293,'Modelling New'!$D:$D,'Modelling New'!P:P),"")</f>
        <v>5.9322580645161294</v>
      </c>
      <c r="AD293" s="130">
        <f>IFERROR(_xlfn.XLOOKUP($D293,'Modelling New'!$D:$D,'Modelling New'!$T:$T)*1000,"")</f>
        <v>34475.662965312498</v>
      </c>
      <c r="AE293" s="138">
        <f>IFERROR(_xlfn.XLOOKUP($D293,'Modelling New'!$D:$D,'Modelling New'!O:O),"")</f>
        <v>0.72455188248968172</v>
      </c>
      <c r="AF293" s="137">
        <f>IFERROR(_xlfn.XLOOKUP($D293,'Modelling New'!$D:$D,'Modelling New'!W:W),"")</f>
        <v>0.17909286450248987</v>
      </c>
      <c r="AG293" s="137">
        <f>IFERROR(_xlfn.XLOOKUP($D293,'Modelling New'!$D:$D,'Modelling New'!AE:AE),"")</f>
        <v>0.98040000000000005</v>
      </c>
      <c r="AH293" s="156">
        <f>IFERROR(_xlfn.XLOOKUP($D293,'Modelling New'!$D:$D,'Modelling New'!AF:AF),"")</f>
        <v>0.98</v>
      </c>
      <c r="AN293" s="134"/>
      <c r="AO293" s="137"/>
      <c r="AP293" s="137"/>
      <c r="AQ293" s="137"/>
      <c r="AR293" s="130">
        <f>'Basic Data'!$B$98/1000</f>
        <v>8.0208999999999993</v>
      </c>
    </row>
    <row r="294" spans="1:44" x14ac:dyDescent="0.3">
      <c r="A294" s="129">
        <f t="shared" si="19"/>
        <v>46037</v>
      </c>
      <c r="B294" s="130">
        <f>YEAR(Table13[[#This Row],[Date]])+IF(MONTH(Table13[[#This Row],[Date]])&gt;=4,1,0)</f>
        <v>2026</v>
      </c>
      <c r="C294" s="7">
        <f>YEAR(Table13[[#This Row],[Date]])</f>
        <v>2026</v>
      </c>
      <c r="D294" s="131">
        <f>Table13[[#This Row],[Date]]-DAY(Table13[[#This Row],[Date]])+1</f>
        <v>46023</v>
      </c>
      <c r="E294" s="7">
        <f t="shared" si="16"/>
        <v>31</v>
      </c>
      <c r="F294" s="132" t="str">
        <f>IFERROR(_xlfn.XLOOKUP($A294,'Raw Data'!$G:$G,'Raw Data'!$AM:$AM),"")</f>
        <v/>
      </c>
      <c r="G294" s="133" t="str">
        <f>IFERROR(_xlfn.XLOOKUP($A294,'Raw Data'!$G:$G,'Raw Data'!$AB:$AB),"")</f>
        <v/>
      </c>
      <c r="H294" s="133"/>
      <c r="I294" s="133" t="str">
        <f>IFERROR(_xlfn.XLOOKUP($A294,'Raw Data'!$G:$G,'Raw Data'!$AC:$AC),"")</f>
        <v/>
      </c>
      <c r="J294" s="133"/>
      <c r="K294" s="133" t="str">
        <f>IFERROR(_xlfn.XLOOKUP($A294,'Raw Data'!$G:$G,'Raw Data'!AD:AD),"")</f>
        <v/>
      </c>
      <c r="L294" s="133" t="str">
        <f>IFERROR(_xlfn.XLOOKUP($A294,'Raw Data'!$G:$G,'Raw Data'!AE:AE),"")</f>
        <v/>
      </c>
      <c r="M294" s="133" t="str">
        <f>IFERROR(_xlfn.XLOOKUP($A294,'Raw Data'!$G:$G,'Raw Data'!AF:AF),"")</f>
        <v/>
      </c>
      <c r="N294" s="133" t="str">
        <f>IFERROR(_xlfn.XLOOKUP($A294,'Raw Data'!$G:$G,'Raw Data'!AG:AG),"")</f>
        <v/>
      </c>
      <c r="O294" s="134" t="str">
        <f>IFERROR(1-SUMIF('Plant BD'!$H:$H,$A294,'Plant BD'!$AE:$AE)/($AA294+SUMIF('Plant BD'!$H:$H,$A294,'Plant BD'!$AE:$AE)),"")</f>
        <v/>
      </c>
      <c r="P294" s="134"/>
      <c r="Q294" s="135"/>
      <c r="R294" s="134" t="str">
        <f>IFERROR(1-SUMIF('Grid BD'!$H:$H,$A294,'Grid BD'!$AD:$AD)/($AA294+SUMIF('Grid BD'!$H:$H,$A294,'Grid BD'!$AD:$AD)),"")</f>
        <v/>
      </c>
      <c r="T294" s="135"/>
      <c r="U294" s="136" t="str">
        <f t="shared" si="17"/>
        <v/>
      </c>
      <c r="V294" s="136"/>
      <c r="W294" s="137" t="str">
        <f t="shared" si="18"/>
        <v/>
      </c>
      <c r="X294" s="130" t="str">
        <f>IFERROR(_xlfn.XLOOKUP($A294,'Raw Data'!$G:$G,'Raw Data'!AI:AI),"")</f>
        <v/>
      </c>
      <c r="Y294" s="130" t="str">
        <f>IFERROR(_xlfn.XLOOKUP($A294,'Raw Data'!$G:$G,'Raw Data'!AJ:AJ),"")</f>
        <v/>
      </c>
      <c r="Z294" s="130" t="str">
        <f>IFERROR(_xlfn.XLOOKUP($A294,'Raw Data'!$G:$G,'Raw Data'!AK:AK),"")</f>
        <v/>
      </c>
      <c r="AA294" s="130" t="str">
        <f>IFERROR(_xlfn.XLOOKUP($A294,'Raw Data'!$G:$G,'Raw Data'!AL:AL),"")</f>
        <v/>
      </c>
      <c r="AB294" s="130" t="str">
        <f>IFERROR(_xlfn.XLOOKUP($A294,'Raw Data'!$G:$G,'Raw Data'!H:H),"")</f>
        <v/>
      </c>
      <c r="AC294" s="76">
        <f>IFERROR(_xlfn.XLOOKUP($D294,'Modelling New'!$D:$D,'Modelling New'!P:P),"")</f>
        <v>5.9322580645161294</v>
      </c>
      <c r="AD294" s="130">
        <f>IFERROR(_xlfn.XLOOKUP($D294,'Modelling New'!$D:$D,'Modelling New'!$T:$T)*1000,"")</f>
        <v>34475.662965312498</v>
      </c>
      <c r="AE294" s="138">
        <f>IFERROR(_xlfn.XLOOKUP($D294,'Modelling New'!$D:$D,'Modelling New'!O:O),"")</f>
        <v>0.72455188248968172</v>
      </c>
      <c r="AF294" s="137">
        <f>IFERROR(_xlfn.XLOOKUP($D294,'Modelling New'!$D:$D,'Modelling New'!W:W),"")</f>
        <v>0.17909286450248987</v>
      </c>
      <c r="AG294" s="137">
        <f>IFERROR(_xlfn.XLOOKUP($D294,'Modelling New'!$D:$D,'Modelling New'!AE:AE),"")</f>
        <v>0.98040000000000005</v>
      </c>
      <c r="AH294" s="156">
        <f>IFERROR(_xlfn.XLOOKUP($D294,'Modelling New'!$D:$D,'Modelling New'!AF:AF),"")</f>
        <v>0.98</v>
      </c>
      <c r="AN294" s="134"/>
      <c r="AO294" s="137"/>
      <c r="AP294" s="137"/>
      <c r="AQ294" s="137"/>
      <c r="AR294" s="130">
        <f>'Basic Data'!$B$98/1000</f>
        <v>8.0208999999999993</v>
      </c>
    </row>
    <row r="295" spans="1:44" x14ac:dyDescent="0.3">
      <c r="A295" s="129">
        <f t="shared" si="19"/>
        <v>46038</v>
      </c>
      <c r="B295" s="130">
        <f>YEAR(Table13[[#This Row],[Date]])+IF(MONTH(Table13[[#This Row],[Date]])&gt;=4,1,0)</f>
        <v>2026</v>
      </c>
      <c r="C295" s="7">
        <f>YEAR(Table13[[#This Row],[Date]])</f>
        <v>2026</v>
      </c>
      <c r="D295" s="131">
        <f>Table13[[#This Row],[Date]]-DAY(Table13[[#This Row],[Date]])+1</f>
        <v>46023</v>
      </c>
      <c r="E295" s="7">
        <f t="shared" si="16"/>
        <v>31</v>
      </c>
      <c r="F295" s="132" t="str">
        <f>IFERROR(_xlfn.XLOOKUP($A295,'Raw Data'!$G:$G,'Raw Data'!$AM:$AM),"")</f>
        <v/>
      </c>
      <c r="G295" s="133" t="str">
        <f>IFERROR(_xlfn.XLOOKUP($A295,'Raw Data'!$G:$G,'Raw Data'!$AB:$AB),"")</f>
        <v/>
      </c>
      <c r="H295" s="133"/>
      <c r="I295" s="133" t="str">
        <f>IFERROR(_xlfn.XLOOKUP($A295,'Raw Data'!$G:$G,'Raw Data'!$AC:$AC),"")</f>
        <v/>
      </c>
      <c r="J295" s="133"/>
      <c r="K295" s="133" t="str">
        <f>IFERROR(_xlfn.XLOOKUP($A295,'Raw Data'!$G:$G,'Raw Data'!AD:AD),"")</f>
        <v/>
      </c>
      <c r="L295" s="133" t="str">
        <f>IFERROR(_xlfn.XLOOKUP($A295,'Raw Data'!$G:$G,'Raw Data'!AE:AE),"")</f>
        <v/>
      </c>
      <c r="M295" s="133" t="str">
        <f>IFERROR(_xlfn.XLOOKUP($A295,'Raw Data'!$G:$G,'Raw Data'!AF:AF),"")</f>
        <v/>
      </c>
      <c r="N295" s="133" t="str">
        <f>IFERROR(_xlfn.XLOOKUP($A295,'Raw Data'!$G:$G,'Raw Data'!AG:AG),"")</f>
        <v/>
      </c>
      <c r="O295" s="134" t="str">
        <f>IFERROR(1-SUMIF('Plant BD'!$H:$H,$A295,'Plant BD'!$AE:$AE)/($AA295+SUMIF('Plant BD'!$H:$H,$A295,'Plant BD'!$AE:$AE)),"")</f>
        <v/>
      </c>
      <c r="P295" s="134"/>
      <c r="Q295" s="135"/>
      <c r="R295" s="134" t="str">
        <f>IFERROR(1-SUMIF('Grid BD'!$H:$H,$A295,'Grid BD'!$AD:$AD)/($AA295+SUMIF('Grid BD'!$H:$H,$A295,'Grid BD'!$AD:$AD)),"")</f>
        <v/>
      </c>
      <c r="T295" s="135"/>
      <c r="U295" s="136" t="str">
        <f t="shared" si="17"/>
        <v/>
      </c>
      <c r="V295" s="136"/>
      <c r="W295" s="137" t="str">
        <f t="shared" si="18"/>
        <v/>
      </c>
      <c r="X295" s="130" t="str">
        <f>IFERROR(_xlfn.XLOOKUP($A295,'Raw Data'!$G:$G,'Raw Data'!AI:AI),"")</f>
        <v/>
      </c>
      <c r="Y295" s="130" t="str">
        <f>IFERROR(_xlfn.XLOOKUP($A295,'Raw Data'!$G:$G,'Raw Data'!AJ:AJ),"")</f>
        <v/>
      </c>
      <c r="Z295" s="130" t="str">
        <f>IFERROR(_xlfn.XLOOKUP($A295,'Raw Data'!$G:$G,'Raw Data'!AK:AK),"")</f>
        <v/>
      </c>
      <c r="AA295" s="130" t="str">
        <f>IFERROR(_xlfn.XLOOKUP($A295,'Raw Data'!$G:$G,'Raw Data'!AL:AL),"")</f>
        <v/>
      </c>
      <c r="AB295" s="130" t="str">
        <f>IFERROR(_xlfn.XLOOKUP($A295,'Raw Data'!$G:$G,'Raw Data'!H:H),"")</f>
        <v/>
      </c>
      <c r="AC295" s="76">
        <f>IFERROR(_xlfn.XLOOKUP($D295,'Modelling New'!$D:$D,'Modelling New'!P:P),"")</f>
        <v>5.9322580645161294</v>
      </c>
      <c r="AD295" s="130">
        <f>IFERROR(_xlfn.XLOOKUP($D295,'Modelling New'!$D:$D,'Modelling New'!$T:$T)*1000,"")</f>
        <v>34475.662965312498</v>
      </c>
      <c r="AE295" s="138">
        <f>IFERROR(_xlfn.XLOOKUP($D295,'Modelling New'!$D:$D,'Modelling New'!O:O),"")</f>
        <v>0.72455188248968172</v>
      </c>
      <c r="AF295" s="137">
        <f>IFERROR(_xlfn.XLOOKUP($D295,'Modelling New'!$D:$D,'Modelling New'!W:W),"")</f>
        <v>0.17909286450248987</v>
      </c>
      <c r="AG295" s="137">
        <f>IFERROR(_xlfn.XLOOKUP($D295,'Modelling New'!$D:$D,'Modelling New'!AE:AE),"")</f>
        <v>0.98040000000000005</v>
      </c>
      <c r="AH295" s="156">
        <f>IFERROR(_xlfn.XLOOKUP($D295,'Modelling New'!$D:$D,'Modelling New'!AF:AF),"")</f>
        <v>0.98</v>
      </c>
      <c r="AN295" s="134"/>
      <c r="AO295" s="137"/>
      <c r="AP295" s="137"/>
      <c r="AQ295" s="137"/>
      <c r="AR295" s="130">
        <f>'Basic Data'!$B$98/1000</f>
        <v>8.0208999999999993</v>
      </c>
    </row>
    <row r="296" spans="1:44" x14ac:dyDescent="0.3">
      <c r="A296" s="129">
        <f t="shared" si="19"/>
        <v>46039</v>
      </c>
      <c r="B296" s="130">
        <f>YEAR(Table13[[#This Row],[Date]])+IF(MONTH(Table13[[#This Row],[Date]])&gt;=4,1,0)</f>
        <v>2026</v>
      </c>
      <c r="C296" s="7">
        <f>YEAR(Table13[[#This Row],[Date]])</f>
        <v>2026</v>
      </c>
      <c r="D296" s="131">
        <f>Table13[[#This Row],[Date]]-DAY(Table13[[#This Row],[Date]])+1</f>
        <v>46023</v>
      </c>
      <c r="E296" s="7">
        <f t="shared" si="16"/>
        <v>31</v>
      </c>
      <c r="F296" s="132" t="str">
        <f>IFERROR(_xlfn.XLOOKUP($A296,'Raw Data'!$G:$G,'Raw Data'!$AM:$AM),"")</f>
        <v/>
      </c>
      <c r="G296" s="133" t="str">
        <f>IFERROR(_xlfn.XLOOKUP($A296,'Raw Data'!$G:$G,'Raw Data'!$AB:$AB),"")</f>
        <v/>
      </c>
      <c r="H296" s="133"/>
      <c r="I296" s="133" t="str">
        <f>IFERROR(_xlfn.XLOOKUP($A296,'Raw Data'!$G:$G,'Raw Data'!$AC:$AC),"")</f>
        <v/>
      </c>
      <c r="J296" s="133"/>
      <c r="K296" s="133" t="str">
        <f>IFERROR(_xlfn.XLOOKUP($A296,'Raw Data'!$G:$G,'Raw Data'!AD:AD),"")</f>
        <v/>
      </c>
      <c r="L296" s="133" t="str">
        <f>IFERROR(_xlfn.XLOOKUP($A296,'Raw Data'!$G:$G,'Raw Data'!AE:AE),"")</f>
        <v/>
      </c>
      <c r="M296" s="133" t="str">
        <f>IFERROR(_xlfn.XLOOKUP($A296,'Raw Data'!$G:$G,'Raw Data'!AF:AF),"")</f>
        <v/>
      </c>
      <c r="N296" s="133" t="str">
        <f>IFERROR(_xlfn.XLOOKUP($A296,'Raw Data'!$G:$G,'Raw Data'!AG:AG),"")</f>
        <v/>
      </c>
      <c r="O296" s="134" t="str">
        <f>IFERROR(1-SUMIF('Plant BD'!$H:$H,$A296,'Plant BD'!$AE:$AE)/($AA296+SUMIF('Plant BD'!$H:$H,$A296,'Plant BD'!$AE:$AE)),"")</f>
        <v/>
      </c>
      <c r="P296" s="134"/>
      <c r="Q296" s="135"/>
      <c r="R296" s="134" t="str">
        <f>IFERROR(1-SUMIF('Grid BD'!$H:$H,$A296,'Grid BD'!$AD:$AD)/($AA296+SUMIF('Grid BD'!$H:$H,$A296,'Grid BD'!$AD:$AD)),"")</f>
        <v/>
      </c>
      <c r="T296" s="135"/>
      <c r="U296" s="136" t="str">
        <f t="shared" si="17"/>
        <v/>
      </c>
      <c r="V296" s="136"/>
      <c r="W296" s="137" t="str">
        <f t="shared" si="18"/>
        <v/>
      </c>
      <c r="X296" s="130" t="str">
        <f>IFERROR(_xlfn.XLOOKUP($A296,'Raw Data'!$G:$G,'Raw Data'!AI:AI),"")</f>
        <v/>
      </c>
      <c r="Y296" s="130" t="str">
        <f>IFERROR(_xlfn.XLOOKUP($A296,'Raw Data'!$G:$G,'Raw Data'!AJ:AJ),"")</f>
        <v/>
      </c>
      <c r="Z296" s="130" t="str">
        <f>IFERROR(_xlfn.XLOOKUP($A296,'Raw Data'!$G:$G,'Raw Data'!AK:AK),"")</f>
        <v/>
      </c>
      <c r="AA296" s="130" t="str">
        <f>IFERROR(_xlfn.XLOOKUP($A296,'Raw Data'!$G:$G,'Raw Data'!AL:AL),"")</f>
        <v/>
      </c>
      <c r="AB296" s="130" t="str">
        <f>IFERROR(_xlfn.XLOOKUP($A296,'Raw Data'!$G:$G,'Raw Data'!H:H),"")</f>
        <v/>
      </c>
      <c r="AC296" s="76">
        <f>IFERROR(_xlfn.XLOOKUP($D296,'Modelling New'!$D:$D,'Modelling New'!P:P),"")</f>
        <v>5.9322580645161294</v>
      </c>
      <c r="AD296" s="130">
        <f>IFERROR(_xlfn.XLOOKUP($D296,'Modelling New'!$D:$D,'Modelling New'!$T:$T)*1000,"")</f>
        <v>34475.662965312498</v>
      </c>
      <c r="AE296" s="138">
        <f>IFERROR(_xlfn.XLOOKUP($D296,'Modelling New'!$D:$D,'Modelling New'!O:O),"")</f>
        <v>0.72455188248968172</v>
      </c>
      <c r="AF296" s="137">
        <f>IFERROR(_xlfn.XLOOKUP($D296,'Modelling New'!$D:$D,'Modelling New'!W:W),"")</f>
        <v>0.17909286450248987</v>
      </c>
      <c r="AG296" s="137">
        <f>IFERROR(_xlfn.XLOOKUP($D296,'Modelling New'!$D:$D,'Modelling New'!AE:AE),"")</f>
        <v>0.98040000000000005</v>
      </c>
      <c r="AH296" s="156">
        <f>IFERROR(_xlfn.XLOOKUP($D296,'Modelling New'!$D:$D,'Modelling New'!AF:AF),"")</f>
        <v>0.98</v>
      </c>
      <c r="AN296" s="134"/>
      <c r="AO296" s="137"/>
      <c r="AP296" s="137"/>
      <c r="AQ296" s="137"/>
      <c r="AR296" s="130">
        <f>'Basic Data'!$B$98/1000</f>
        <v>8.0208999999999993</v>
      </c>
    </row>
    <row r="297" spans="1:44" x14ac:dyDescent="0.3">
      <c r="A297" s="129">
        <f t="shared" si="19"/>
        <v>46040</v>
      </c>
      <c r="B297" s="130">
        <f>YEAR(Table13[[#This Row],[Date]])+IF(MONTH(Table13[[#This Row],[Date]])&gt;=4,1,0)</f>
        <v>2026</v>
      </c>
      <c r="C297" s="7">
        <f>YEAR(Table13[[#This Row],[Date]])</f>
        <v>2026</v>
      </c>
      <c r="D297" s="131">
        <f>Table13[[#This Row],[Date]]-DAY(Table13[[#This Row],[Date]])+1</f>
        <v>46023</v>
      </c>
      <c r="E297" s="7">
        <f t="shared" si="16"/>
        <v>31</v>
      </c>
      <c r="F297" s="132" t="str">
        <f>IFERROR(_xlfn.XLOOKUP($A297,'Raw Data'!$G:$G,'Raw Data'!$AM:$AM),"")</f>
        <v/>
      </c>
      <c r="G297" s="133" t="str">
        <f>IFERROR(_xlfn.XLOOKUP($A297,'Raw Data'!$G:$G,'Raw Data'!$AB:$AB),"")</f>
        <v/>
      </c>
      <c r="H297" s="133"/>
      <c r="I297" s="133" t="str">
        <f>IFERROR(_xlfn.XLOOKUP($A297,'Raw Data'!$G:$G,'Raw Data'!$AC:$AC),"")</f>
        <v/>
      </c>
      <c r="J297" s="133"/>
      <c r="K297" s="133" t="str">
        <f>IFERROR(_xlfn.XLOOKUP($A297,'Raw Data'!$G:$G,'Raw Data'!AD:AD),"")</f>
        <v/>
      </c>
      <c r="L297" s="133" t="str">
        <f>IFERROR(_xlfn.XLOOKUP($A297,'Raw Data'!$G:$G,'Raw Data'!AE:AE),"")</f>
        <v/>
      </c>
      <c r="M297" s="133" t="str">
        <f>IFERROR(_xlfn.XLOOKUP($A297,'Raw Data'!$G:$G,'Raw Data'!AF:AF),"")</f>
        <v/>
      </c>
      <c r="N297" s="133" t="str">
        <f>IFERROR(_xlfn.XLOOKUP($A297,'Raw Data'!$G:$G,'Raw Data'!AG:AG),"")</f>
        <v/>
      </c>
      <c r="O297" s="134" t="str">
        <f>IFERROR(1-SUMIF('Plant BD'!$H:$H,$A297,'Plant BD'!$AE:$AE)/($AA297+SUMIF('Plant BD'!$H:$H,$A297,'Plant BD'!$AE:$AE)),"")</f>
        <v/>
      </c>
      <c r="P297" s="134"/>
      <c r="Q297" s="135"/>
      <c r="R297" s="134" t="str">
        <f>IFERROR(1-SUMIF('Grid BD'!$H:$H,$A297,'Grid BD'!$AD:$AD)/($AA297+SUMIF('Grid BD'!$H:$H,$A297,'Grid BD'!$AD:$AD)),"")</f>
        <v/>
      </c>
      <c r="T297" s="135"/>
      <c r="U297" s="136" t="str">
        <f t="shared" si="17"/>
        <v/>
      </c>
      <c r="V297" s="136"/>
      <c r="W297" s="137" t="str">
        <f t="shared" si="18"/>
        <v/>
      </c>
      <c r="X297" s="130" t="str">
        <f>IFERROR(_xlfn.XLOOKUP($A297,'Raw Data'!$G:$G,'Raw Data'!AI:AI),"")</f>
        <v/>
      </c>
      <c r="Y297" s="130" t="str">
        <f>IFERROR(_xlfn.XLOOKUP($A297,'Raw Data'!$G:$G,'Raw Data'!AJ:AJ),"")</f>
        <v/>
      </c>
      <c r="Z297" s="130" t="str">
        <f>IFERROR(_xlfn.XLOOKUP($A297,'Raw Data'!$G:$G,'Raw Data'!AK:AK),"")</f>
        <v/>
      </c>
      <c r="AA297" s="130" t="str">
        <f>IFERROR(_xlfn.XLOOKUP($A297,'Raw Data'!$G:$G,'Raw Data'!AL:AL),"")</f>
        <v/>
      </c>
      <c r="AB297" s="130" t="str">
        <f>IFERROR(_xlfn.XLOOKUP($A297,'Raw Data'!$G:$G,'Raw Data'!H:H),"")</f>
        <v/>
      </c>
      <c r="AC297" s="76">
        <f>IFERROR(_xlfn.XLOOKUP($D297,'Modelling New'!$D:$D,'Modelling New'!P:P),"")</f>
        <v>5.9322580645161294</v>
      </c>
      <c r="AD297" s="130">
        <f>IFERROR(_xlfn.XLOOKUP($D297,'Modelling New'!$D:$D,'Modelling New'!$T:$T)*1000,"")</f>
        <v>34475.662965312498</v>
      </c>
      <c r="AE297" s="138">
        <f>IFERROR(_xlfn.XLOOKUP($D297,'Modelling New'!$D:$D,'Modelling New'!O:O),"")</f>
        <v>0.72455188248968172</v>
      </c>
      <c r="AF297" s="137">
        <f>IFERROR(_xlfn.XLOOKUP($D297,'Modelling New'!$D:$D,'Modelling New'!W:W),"")</f>
        <v>0.17909286450248987</v>
      </c>
      <c r="AG297" s="137">
        <f>IFERROR(_xlfn.XLOOKUP($D297,'Modelling New'!$D:$D,'Modelling New'!AE:AE),"")</f>
        <v>0.98040000000000005</v>
      </c>
      <c r="AH297" s="156">
        <f>IFERROR(_xlfn.XLOOKUP($D297,'Modelling New'!$D:$D,'Modelling New'!AF:AF),"")</f>
        <v>0.98</v>
      </c>
      <c r="AN297" s="134"/>
      <c r="AO297" s="137"/>
      <c r="AP297" s="137"/>
      <c r="AQ297" s="137"/>
      <c r="AR297" s="130">
        <f>'Basic Data'!$B$98/1000</f>
        <v>8.0208999999999993</v>
      </c>
    </row>
    <row r="298" spans="1:44" x14ac:dyDescent="0.3">
      <c r="A298" s="129">
        <f t="shared" si="19"/>
        <v>46041</v>
      </c>
      <c r="B298" s="130">
        <f>YEAR(Table13[[#This Row],[Date]])+IF(MONTH(Table13[[#This Row],[Date]])&gt;=4,1,0)</f>
        <v>2026</v>
      </c>
      <c r="C298" s="7">
        <f>YEAR(Table13[[#This Row],[Date]])</f>
        <v>2026</v>
      </c>
      <c r="D298" s="131">
        <f>Table13[[#This Row],[Date]]-DAY(Table13[[#This Row],[Date]])+1</f>
        <v>46023</v>
      </c>
      <c r="E298" s="7">
        <f t="shared" si="16"/>
        <v>31</v>
      </c>
      <c r="F298" s="132" t="str">
        <f>IFERROR(_xlfn.XLOOKUP($A298,'Raw Data'!$G:$G,'Raw Data'!$AM:$AM),"")</f>
        <v/>
      </c>
      <c r="G298" s="133" t="str">
        <f>IFERROR(_xlfn.XLOOKUP($A298,'Raw Data'!$G:$G,'Raw Data'!$AB:$AB),"")</f>
        <v/>
      </c>
      <c r="H298" s="133"/>
      <c r="I298" s="133" t="str">
        <f>IFERROR(_xlfn.XLOOKUP($A298,'Raw Data'!$G:$G,'Raw Data'!$AC:$AC),"")</f>
        <v/>
      </c>
      <c r="J298" s="133"/>
      <c r="K298" s="133" t="str">
        <f>IFERROR(_xlfn.XLOOKUP($A298,'Raw Data'!$G:$G,'Raw Data'!AD:AD),"")</f>
        <v/>
      </c>
      <c r="L298" s="133" t="str">
        <f>IFERROR(_xlfn.XLOOKUP($A298,'Raw Data'!$G:$G,'Raw Data'!AE:AE),"")</f>
        <v/>
      </c>
      <c r="M298" s="133" t="str">
        <f>IFERROR(_xlfn.XLOOKUP($A298,'Raw Data'!$G:$G,'Raw Data'!AF:AF),"")</f>
        <v/>
      </c>
      <c r="N298" s="133" t="str">
        <f>IFERROR(_xlfn.XLOOKUP($A298,'Raw Data'!$G:$G,'Raw Data'!AG:AG),"")</f>
        <v/>
      </c>
      <c r="O298" s="134" t="str">
        <f>IFERROR(1-SUMIF('Plant BD'!$H:$H,$A298,'Plant BD'!$AE:$AE)/($AA298+SUMIF('Plant BD'!$H:$H,$A298,'Plant BD'!$AE:$AE)),"")</f>
        <v/>
      </c>
      <c r="P298" s="134"/>
      <c r="Q298" s="135"/>
      <c r="R298" s="134" t="str">
        <f>IFERROR(1-SUMIF('Grid BD'!$H:$H,$A298,'Grid BD'!$AD:$AD)/($AA298+SUMIF('Grid BD'!$H:$H,$A298,'Grid BD'!$AD:$AD)),"")</f>
        <v/>
      </c>
      <c r="T298" s="135"/>
      <c r="U298" s="136" t="str">
        <f t="shared" si="17"/>
        <v/>
      </c>
      <c r="V298" s="136"/>
      <c r="W298" s="137" t="str">
        <f t="shared" si="18"/>
        <v/>
      </c>
      <c r="X298" s="130" t="str">
        <f>IFERROR(_xlfn.XLOOKUP($A298,'Raw Data'!$G:$G,'Raw Data'!AI:AI),"")</f>
        <v/>
      </c>
      <c r="Y298" s="130" t="str">
        <f>IFERROR(_xlfn.XLOOKUP($A298,'Raw Data'!$G:$G,'Raw Data'!AJ:AJ),"")</f>
        <v/>
      </c>
      <c r="Z298" s="130" t="str">
        <f>IFERROR(_xlfn.XLOOKUP($A298,'Raw Data'!$G:$G,'Raw Data'!AK:AK),"")</f>
        <v/>
      </c>
      <c r="AA298" s="130" t="str">
        <f>IFERROR(_xlfn.XLOOKUP($A298,'Raw Data'!$G:$G,'Raw Data'!AL:AL),"")</f>
        <v/>
      </c>
      <c r="AB298" s="130" t="str">
        <f>IFERROR(_xlfn.XLOOKUP($A298,'Raw Data'!$G:$G,'Raw Data'!H:H),"")</f>
        <v/>
      </c>
      <c r="AC298" s="76">
        <f>IFERROR(_xlfn.XLOOKUP($D298,'Modelling New'!$D:$D,'Modelling New'!P:P),"")</f>
        <v>5.9322580645161294</v>
      </c>
      <c r="AD298" s="130">
        <f>IFERROR(_xlfn.XLOOKUP($D298,'Modelling New'!$D:$D,'Modelling New'!$T:$T)*1000,"")</f>
        <v>34475.662965312498</v>
      </c>
      <c r="AE298" s="138">
        <f>IFERROR(_xlfn.XLOOKUP($D298,'Modelling New'!$D:$D,'Modelling New'!O:O),"")</f>
        <v>0.72455188248968172</v>
      </c>
      <c r="AF298" s="137">
        <f>IFERROR(_xlfn.XLOOKUP($D298,'Modelling New'!$D:$D,'Modelling New'!W:W),"")</f>
        <v>0.17909286450248987</v>
      </c>
      <c r="AG298" s="137">
        <f>IFERROR(_xlfn.XLOOKUP($D298,'Modelling New'!$D:$D,'Modelling New'!AE:AE),"")</f>
        <v>0.98040000000000005</v>
      </c>
      <c r="AH298" s="156">
        <f>IFERROR(_xlfn.XLOOKUP($D298,'Modelling New'!$D:$D,'Modelling New'!AF:AF),"")</f>
        <v>0.98</v>
      </c>
      <c r="AN298" s="134"/>
      <c r="AO298" s="137"/>
      <c r="AP298" s="137"/>
      <c r="AQ298" s="137"/>
      <c r="AR298" s="130">
        <f>'Basic Data'!$B$98/1000</f>
        <v>8.0208999999999993</v>
      </c>
    </row>
    <row r="299" spans="1:44" x14ac:dyDescent="0.3">
      <c r="A299" s="129">
        <f t="shared" si="19"/>
        <v>46042</v>
      </c>
      <c r="B299" s="130">
        <f>YEAR(Table13[[#This Row],[Date]])+IF(MONTH(Table13[[#This Row],[Date]])&gt;=4,1,0)</f>
        <v>2026</v>
      </c>
      <c r="C299" s="7">
        <f>YEAR(Table13[[#This Row],[Date]])</f>
        <v>2026</v>
      </c>
      <c r="D299" s="131">
        <f>Table13[[#This Row],[Date]]-DAY(Table13[[#This Row],[Date]])+1</f>
        <v>46023</v>
      </c>
      <c r="E299" s="7">
        <f t="shared" si="16"/>
        <v>31</v>
      </c>
      <c r="F299" s="132" t="str">
        <f>IFERROR(_xlfn.XLOOKUP($A299,'Raw Data'!$G:$G,'Raw Data'!$AM:$AM),"")</f>
        <v/>
      </c>
      <c r="G299" s="133" t="str">
        <f>IFERROR(_xlfn.XLOOKUP($A299,'Raw Data'!$G:$G,'Raw Data'!$AB:$AB),"")</f>
        <v/>
      </c>
      <c r="H299" s="133"/>
      <c r="I299" s="133" t="str">
        <f>IFERROR(_xlfn.XLOOKUP($A299,'Raw Data'!$G:$G,'Raw Data'!$AC:$AC),"")</f>
        <v/>
      </c>
      <c r="J299" s="133"/>
      <c r="K299" s="133" t="str">
        <f>IFERROR(_xlfn.XLOOKUP($A299,'Raw Data'!$G:$G,'Raw Data'!AD:AD),"")</f>
        <v/>
      </c>
      <c r="L299" s="133" t="str">
        <f>IFERROR(_xlfn.XLOOKUP($A299,'Raw Data'!$G:$G,'Raw Data'!AE:AE),"")</f>
        <v/>
      </c>
      <c r="M299" s="133" t="str">
        <f>IFERROR(_xlfn.XLOOKUP($A299,'Raw Data'!$G:$G,'Raw Data'!AF:AF),"")</f>
        <v/>
      </c>
      <c r="N299" s="133" t="str">
        <f>IFERROR(_xlfn.XLOOKUP($A299,'Raw Data'!$G:$G,'Raw Data'!AG:AG),"")</f>
        <v/>
      </c>
      <c r="O299" s="134" t="str">
        <f>IFERROR(1-SUMIF('Plant BD'!$H:$H,$A299,'Plant BD'!$AE:$AE)/($AA299+SUMIF('Plant BD'!$H:$H,$A299,'Plant BD'!$AE:$AE)),"")</f>
        <v/>
      </c>
      <c r="P299" s="134"/>
      <c r="Q299" s="135"/>
      <c r="R299" s="134" t="str">
        <f>IFERROR(1-SUMIF('Grid BD'!$H:$H,$A299,'Grid BD'!$AD:$AD)/($AA299+SUMIF('Grid BD'!$H:$H,$A299,'Grid BD'!$AD:$AD)),"")</f>
        <v/>
      </c>
      <c r="T299" s="135"/>
      <c r="U299" s="136" t="str">
        <f t="shared" si="17"/>
        <v/>
      </c>
      <c r="V299" s="136"/>
      <c r="W299" s="137" t="str">
        <f t="shared" si="18"/>
        <v/>
      </c>
      <c r="X299" s="130" t="str">
        <f>IFERROR(_xlfn.XLOOKUP($A299,'Raw Data'!$G:$G,'Raw Data'!AI:AI),"")</f>
        <v/>
      </c>
      <c r="Y299" s="130" t="str">
        <f>IFERROR(_xlfn.XLOOKUP($A299,'Raw Data'!$G:$G,'Raw Data'!AJ:AJ),"")</f>
        <v/>
      </c>
      <c r="Z299" s="130" t="str">
        <f>IFERROR(_xlfn.XLOOKUP($A299,'Raw Data'!$G:$G,'Raw Data'!AK:AK),"")</f>
        <v/>
      </c>
      <c r="AA299" s="130" t="str">
        <f>IFERROR(_xlfn.XLOOKUP($A299,'Raw Data'!$G:$G,'Raw Data'!AL:AL),"")</f>
        <v/>
      </c>
      <c r="AB299" s="130" t="str">
        <f>IFERROR(_xlfn.XLOOKUP($A299,'Raw Data'!$G:$G,'Raw Data'!H:H),"")</f>
        <v/>
      </c>
      <c r="AC299" s="76">
        <f>IFERROR(_xlfn.XLOOKUP($D299,'Modelling New'!$D:$D,'Modelling New'!P:P),"")</f>
        <v>5.9322580645161294</v>
      </c>
      <c r="AD299" s="130">
        <f>IFERROR(_xlfn.XLOOKUP($D299,'Modelling New'!$D:$D,'Modelling New'!$T:$T)*1000,"")</f>
        <v>34475.662965312498</v>
      </c>
      <c r="AE299" s="138">
        <f>IFERROR(_xlfn.XLOOKUP($D299,'Modelling New'!$D:$D,'Modelling New'!O:O),"")</f>
        <v>0.72455188248968172</v>
      </c>
      <c r="AF299" s="137">
        <f>IFERROR(_xlfn.XLOOKUP($D299,'Modelling New'!$D:$D,'Modelling New'!W:W),"")</f>
        <v>0.17909286450248987</v>
      </c>
      <c r="AG299" s="137">
        <f>IFERROR(_xlfn.XLOOKUP($D299,'Modelling New'!$D:$D,'Modelling New'!AE:AE),"")</f>
        <v>0.98040000000000005</v>
      </c>
      <c r="AH299" s="156">
        <f>IFERROR(_xlfn.XLOOKUP($D299,'Modelling New'!$D:$D,'Modelling New'!AF:AF),"")</f>
        <v>0.98</v>
      </c>
      <c r="AN299" s="134"/>
      <c r="AO299" s="137"/>
      <c r="AP299" s="137"/>
      <c r="AQ299" s="137"/>
      <c r="AR299" s="130">
        <f>'Basic Data'!$B$98/1000</f>
        <v>8.0208999999999993</v>
      </c>
    </row>
    <row r="300" spans="1:44" x14ac:dyDescent="0.3">
      <c r="A300" s="129">
        <f t="shared" si="19"/>
        <v>46043</v>
      </c>
      <c r="B300" s="130">
        <f>YEAR(Table13[[#This Row],[Date]])+IF(MONTH(Table13[[#This Row],[Date]])&gt;=4,1,0)</f>
        <v>2026</v>
      </c>
      <c r="C300" s="7">
        <f>YEAR(Table13[[#This Row],[Date]])</f>
        <v>2026</v>
      </c>
      <c r="D300" s="131">
        <f>Table13[[#This Row],[Date]]-DAY(Table13[[#This Row],[Date]])+1</f>
        <v>46023</v>
      </c>
      <c r="E300" s="7">
        <f t="shared" si="16"/>
        <v>31</v>
      </c>
      <c r="F300" s="132" t="str">
        <f>IFERROR(_xlfn.XLOOKUP($A300,'Raw Data'!$G:$G,'Raw Data'!$AM:$AM),"")</f>
        <v/>
      </c>
      <c r="G300" s="133" t="str">
        <f>IFERROR(_xlfn.XLOOKUP($A300,'Raw Data'!$G:$G,'Raw Data'!$AB:$AB),"")</f>
        <v/>
      </c>
      <c r="H300" s="133"/>
      <c r="I300" s="133" t="str">
        <f>IFERROR(_xlfn.XLOOKUP($A300,'Raw Data'!$G:$G,'Raw Data'!$AC:$AC),"")</f>
        <v/>
      </c>
      <c r="J300" s="133"/>
      <c r="K300" s="133" t="str">
        <f>IFERROR(_xlfn.XLOOKUP($A300,'Raw Data'!$G:$G,'Raw Data'!AD:AD),"")</f>
        <v/>
      </c>
      <c r="L300" s="133" t="str">
        <f>IFERROR(_xlfn.XLOOKUP($A300,'Raw Data'!$G:$G,'Raw Data'!AE:AE),"")</f>
        <v/>
      </c>
      <c r="M300" s="133" t="str">
        <f>IFERROR(_xlfn.XLOOKUP($A300,'Raw Data'!$G:$G,'Raw Data'!AF:AF),"")</f>
        <v/>
      </c>
      <c r="N300" s="133" t="str">
        <f>IFERROR(_xlfn.XLOOKUP($A300,'Raw Data'!$G:$G,'Raw Data'!AG:AG),"")</f>
        <v/>
      </c>
      <c r="O300" s="134" t="str">
        <f>IFERROR(1-SUMIF('Plant BD'!$H:$H,$A300,'Plant BD'!$AE:$AE)/($AA300+SUMIF('Plant BD'!$H:$H,$A300,'Plant BD'!$AE:$AE)),"")</f>
        <v/>
      </c>
      <c r="P300" s="134"/>
      <c r="Q300" s="135"/>
      <c r="R300" s="134" t="str">
        <f>IFERROR(1-SUMIF('Grid BD'!$H:$H,$A300,'Grid BD'!$AD:$AD)/($AA300+SUMIF('Grid BD'!$H:$H,$A300,'Grid BD'!$AD:$AD)),"")</f>
        <v/>
      </c>
      <c r="T300" s="135"/>
      <c r="U300" s="136" t="str">
        <f t="shared" si="17"/>
        <v/>
      </c>
      <c r="V300" s="136"/>
      <c r="W300" s="137" t="str">
        <f t="shared" si="18"/>
        <v/>
      </c>
      <c r="X300" s="130" t="str">
        <f>IFERROR(_xlfn.XLOOKUP($A300,'Raw Data'!$G:$G,'Raw Data'!AI:AI),"")</f>
        <v/>
      </c>
      <c r="Y300" s="130" t="str">
        <f>IFERROR(_xlfn.XLOOKUP($A300,'Raw Data'!$G:$G,'Raw Data'!AJ:AJ),"")</f>
        <v/>
      </c>
      <c r="Z300" s="130" t="str">
        <f>IFERROR(_xlfn.XLOOKUP($A300,'Raw Data'!$G:$G,'Raw Data'!AK:AK),"")</f>
        <v/>
      </c>
      <c r="AA300" s="130" t="str">
        <f>IFERROR(_xlfn.XLOOKUP($A300,'Raw Data'!$G:$G,'Raw Data'!AL:AL),"")</f>
        <v/>
      </c>
      <c r="AB300" s="130" t="str">
        <f>IFERROR(_xlfn.XLOOKUP($A300,'Raw Data'!$G:$G,'Raw Data'!H:H),"")</f>
        <v/>
      </c>
      <c r="AC300" s="76">
        <f>IFERROR(_xlfn.XLOOKUP($D300,'Modelling New'!$D:$D,'Modelling New'!P:P),"")</f>
        <v>5.9322580645161294</v>
      </c>
      <c r="AD300" s="130">
        <f>IFERROR(_xlfn.XLOOKUP($D300,'Modelling New'!$D:$D,'Modelling New'!$T:$T)*1000,"")</f>
        <v>34475.662965312498</v>
      </c>
      <c r="AE300" s="138">
        <f>IFERROR(_xlfn.XLOOKUP($D300,'Modelling New'!$D:$D,'Modelling New'!O:O),"")</f>
        <v>0.72455188248968172</v>
      </c>
      <c r="AF300" s="137">
        <f>IFERROR(_xlfn.XLOOKUP($D300,'Modelling New'!$D:$D,'Modelling New'!W:W),"")</f>
        <v>0.17909286450248987</v>
      </c>
      <c r="AG300" s="137">
        <f>IFERROR(_xlfn.XLOOKUP($D300,'Modelling New'!$D:$D,'Modelling New'!AE:AE),"")</f>
        <v>0.98040000000000005</v>
      </c>
      <c r="AH300" s="156">
        <f>IFERROR(_xlfn.XLOOKUP($D300,'Modelling New'!$D:$D,'Modelling New'!AF:AF),"")</f>
        <v>0.98</v>
      </c>
      <c r="AN300" s="134"/>
      <c r="AO300" s="137"/>
      <c r="AP300" s="137"/>
      <c r="AQ300" s="137"/>
      <c r="AR300" s="130">
        <f>'Basic Data'!$B$98/1000</f>
        <v>8.0208999999999993</v>
      </c>
    </row>
    <row r="301" spans="1:44" x14ac:dyDescent="0.3">
      <c r="A301" s="129">
        <f t="shared" si="19"/>
        <v>46044</v>
      </c>
      <c r="B301" s="130">
        <f>YEAR(Table13[[#This Row],[Date]])+IF(MONTH(Table13[[#This Row],[Date]])&gt;=4,1,0)</f>
        <v>2026</v>
      </c>
      <c r="C301" s="7">
        <f>YEAR(Table13[[#This Row],[Date]])</f>
        <v>2026</v>
      </c>
      <c r="D301" s="131">
        <f>Table13[[#This Row],[Date]]-DAY(Table13[[#This Row],[Date]])+1</f>
        <v>46023</v>
      </c>
      <c r="E301" s="7">
        <f t="shared" si="16"/>
        <v>31</v>
      </c>
      <c r="F301" s="132" t="str">
        <f>IFERROR(_xlfn.XLOOKUP($A301,'Raw Data'!$G:$G,'Raw Data'!$AM:$AM),"")</f>
        <v/>
      </c>
      <c r="G301" s="133" t="str">
        <f>IFERROR(_xlfn.XLOOKUP($A301,'Raw Data'!$G:$G,'Raw Data'!$AB:$AB),"")</f>
        <v/>
      </c>
      <c r="H301" s="133"/>
      <c r="I301" s="133" t="str">
        <f>IFERROR(_xlfn.XLOOKUP($A301,'Raw Data'!$G:$G,'Raw Data'!$AC:$AC),"")</f>
        <v/>
      </c>
      <c r="J301" s="133"/>
      <c r="K301" s="133" t="str">
        <f>IFERROR(_xlfn.XLOOKUP($A301,'Raw Data'!$G:$G,'Raw Data'!AD:AD),"")</f>
        <v/>
      </c>
      <c r="L301" s="133" t="str">
        <f>IFERROR(_xlfn.XLOOKUP($A301,'Raw Data'!$G:$G,'Raw Data'!AE:AE),"")</f>
        <v/>
      </c>
      <c r="M301" s="133" t="str">
        <f>IFERROR(_xlfn.XLOOKUP($A301,'Raw Data'!$G:$G,'Raw Data'!AF:AF),"")</f>
        <v/>
      </c>
      <c r="N301" s="133" t="str">
        <f>IFERROR(_xlfn.XLOOKUP($A301,'Raw Data'!$G:$G,'Raw Data'!AG:AG),"")</f>
        <v/>
      </c>
      <c r="O301" s="134" t="str">
        <f>IFERROR(1-SUMIF('Plant BD'!$H:$H,$A301,'Plant BD'!$AE:$AE)/($AA301+SUMIF('Plant BD'!$H:$H,$A301,'Plant BD'!$AE:$AE)),"")</f>
        <v/>
      </c>
      <c r="P301" s="134"/>
      <c r="Q301" s="135"/>
      <c r="R301" s="134" t="str">
        <f>IFERROR(1-SUMIF('Grid BD'!$H:$H,$A301,'Grid BD'!$AD:$AD)/($AA301+SUMIF('Grid BD'!$H:$H,$A301,'Grid BD'!$AD:$AD)),"")</f>
        <v/>
      </c>
      <c r="T301" s="135"/>
      <c r="U301" s="136" t="str">
        <f t="shared" si="17"/>
        <v/>
      </c>
      <c r="V301" s="136"/>
      <c r="W301" s="137" t="str">
        <f t="shared" si="18"/>
        <v/>
      </c>
      <c r="X301" s="130" t="str">
        <f>IFERROR(_xlfn.XLOOKUP($A301,'Raw Data'!$G:$G,'Raw Data'!AI:AI),"")</f>
        <v/>
      </c>
      <c r="Y301" s="130" t="str">
        <f>IFERROR(_xlfn.XLOOKUP($A301,'Raw Data'!$G:$G,'Raw Data'!AJ:AJ),"")</f>
        <v/>
      </c>
      <c r="Z301" s="130" t="str">
        <f>IFERROR(_xlfn.XLOOKUP($A301,'Raw Data'!$G:$G,'Raw Data'!AK:AK),"")</f>
        <v/>
      </c>
      <c r="AA301" s="130" t="str">
        <f>IFERROR(_xlfn.XLOOKUP($A301,'Raw Data'!$G:$G,'Raw Data'!AL:AL),"")</f>
        <v/>
      </c>
      <c r="AB301" s="130" t="str">
        <f>IFERROR(_xlfn.XLOOKUP($A301,'Raw Data'!$G:$G,'Raw Data'!H:H),"")</f>
        <v/>
      </c>
      <c r="AC301" s="76">
        <f>IFERROR(_xlfn.XLOOKUP($D301,'Modelling New'!$D:$D,'Modelling New'!P:P),"")</f>
        <v>5.9322580645161294</v>
      </c>
      <c r="AD301" s="130">
        <f>IFERROR(_xlfn.XLOOKUP($D301,'Modelling New'!$D:$D,'Modelling New'!$T:$T)*1000,"")</f>
        <v>34475.662965312498</v>
      </c>
      <c r="AE301" s="138">
        <f>IFERROR(_xlfn.XLOOKUP($D301,'Modelling New'!$D:$D,'Modelling New'!O:O),"")</f>
        <v>0.72455188248968172</v>
      </c>
      <c r="AF301" s="137">
        <f>IFERROR(_xlfn.XLOOKUP($D301,'Modelling New'!$D:$D,'Modelling New'!W:W),"")</f>
        <v>0.17909286450248987</v>
      </c>
      <c r="AG301" s="137">
        <f>IFERROR(_xlfn.XLOOKUP($D301,'Modelling New'!$D:$D,'Modelling New'!AE:AE),"")</f>
        <v>0.98040000000000005</v>
      </c>
      <c r="AH301" s="156">
        <f>IFERROR(_xlfn.XLOOKUP($D301,'Modelling New'!$D:$D,'Modelling New'!AF:AF),"")</f>
        <v>0.98</v>
      </c>
      <c r="AN301" s="134"/>
      <c r="AO301" s="137"/>
      <c r="AP301" s="137"/>
      <c r="AQ301" s="137"/>
      <c r="AR301" s="130">
        <f>'Basic Data'!$B$98/1000</f>
        <v>8.0208999999999993</v>
      </c>
    </row>
    <row r="302" spans="1:44" x14ac:dyDescent="0.3">
      <c r="A302" s="129">
        <f t="shared" si="19"/>
        <v>46045</v>
      </c>
      <c r="B302" s="130">
        <f>YEAR(Table13[[#This Row],[Date]])+IF(MONTH(Table13[[#This Row],[Date]])&gt;=4,1,0)</f>
        <v>2026</v>
      </c>
      <c r="C302" s="7">
        <f>YEAR(Table13[[#This Row],[Date]])</f>
        <v>2026</v>
      </c>
      <c r="D302" s="131">
        <f>Table13[[#This Row],[Date]]-DAY(Table13[[#This Row],[Date]])+1</f>
        <v>46023</v>
      </c>
      <c r="E302" s="7">
        <f t="shared" si="16"/>
        <v>31</v>
      </c>
      <c r="F302" s="132" t="str">
        <f>IFERROR(_xlfn.XLOOKUP($A302,'Raw Data'!$G:$G,'Raw Data'!$AM:$AM),"")</f>
        <v/>
      </c>
      <c r="G302" s="133" t="str">
        <f>IFERROR(_xlfn.XLOOKUP($A302,'Raw Data'!$G:$G,'Raw Data'!$AB:$AB),"")</f>
        <v/>
      </c>
      <c r="H302" s="133"/>
      <c r="I302" s="133" t="str">
        <f>IFERROR(_xlfn.XLOOKUP($A302,'Raw Data'!$G:$G,'Raw Data'!$AC:$AC),"")</f>
        <v/>
      </c>
      <c r="J302" s="133"/>
      <c r="K302" s="133" t="str">
        <f>IFERROR(_xlfn.XLOOKUP($A302,'Raw Data'!$G:$G,'Raw Data'!AD:AD),"")</f>
        <v/>
      </c>
      <c r="L302" s="133" t="str">
        <f>IFERROR(_xlfn.XLOOKUP($A302,'Raw Data'!$G:$G,'Raw Data'!AE:AE),"")</f>
        <v/>
      </c>
      <c r="M302" s="133" t="str">
        <f>IFERROR(_xlfn.XLOOKUP($A302,'Raw Data'!$G:$G,'Raw Data'!AF:AF),"")</f>
        <v/>
      </c>
      <c r="N302" s="133" t="str">
        <f>IFERROR(_xlfn.XLOOKUP($A302,'Raw Data'!$G:$G,'Raw Data'!AG:AG),"")</f>
        <v/>
      </c>
      <c r="O302" s="134" t="str">
        <f>IFERROR(1-SUMIF('Plant BD'!$H:$H,$A302,'Plant BD'!$AE:$AE)/($AA302+SUMIF('Plant BD'!$H:$H,$A302,'Plant BD'!$AE:$AE)),"")</f>
        <v/>
      </c>
      <c r="P302" s="134"/>
      <c r="Q302" s="135"/>
      <c r="R302" s="134" t="str">
        <f>IFERROR(1-SUMIF('Grid BD'!$H:$H,$A302,'Grid BD'!$AD:$AD)/($AA302+SUMIF('Grid BD'!$H:$H,$A302,'Grid BD'!$AD:$AD)),"")</f>
        <v/>
      </c>
      <c r="T302" s="135"/>
      <c r="U302" s="136" t="str">
        <f t="shared" si="17"/>
        <v/>
      </c>
      <c r="V302" s="136"/>
      <c r="W302" s="137" t="str">
        <f t="shared" si="18"/>
        <v/>
      </c>
      <c r="X302" s="130" t="str">
        <f>IFERROR(_xlfn.XLOOKUP($A302,'Raw Data'!$G:$G,'Raw Data'!AI:AI),"")</f>
        <v/>
      </c>
      <c r="Y302" s="130" t="str">
        <f>IFERROR(_xlfn.XLOOKUP($A302,'Raw Data'!$G:$G,'Raw Data'!AJ:AJ),"")</f>
        <v/>
      </c>
      <c r="Z302" s="130" t="str">
        <f>IFERROR(_xlfn.XLOOKUP($A302,'Raw Data'!$G:$G,'Raw Data'!AK:AK),"")</f>
        <v/>
      </c>
      <c r="AA302" s="130" t="str">
        <f>IFERROR(_xlfn.XLOOKUP($A302,'Raw Data'!$G:$G,'Raw Data'!AL:AL),"")</f>
        <v/>
      </c>
      <c r="AB302" s="130" t="str">
        <f>IFERROR(_xlfn.XLOOKUP($A302,'Raw Data'!$G:$G,'Raw Data'!H:H),"")</f>
        <v/>
      </c>
      <c r="AC302" s="76">
        <f>IFERROR(_xlfn.XLOOKUP($D302,'Modelling New'!$D:$D,'Modelling New'!P:P),"")</f>
        <v>5.9322580645161294</v>
      </c>
      <c r="AD302" s="130">
        <f>IFERROR(_xlfn.XLOOKUP($D302,'Modelling New'!$D:$D,'Modelling New'!$T:$T)*1000,"")</f>
        <v>34475.662965312498</v>
      </c>
      <c r="AE302" s="138">
        <f>IFERROR(_xlfn.XLOOKUP($D302,'Modelling New'!$D:$D,'Modelling New'!O:O),"")</f>
        <v>0.72455188248968172</v>
      </c>
      <c r="AF302" s="137">
        <f>IFERROR(_xlfn.XLOOKUP($D302,'Modelling New'!$D:$D,'Modelling New'!W:W),"")</f>
        <v>0.17909286450248987</v>
      </c>
      <c r="AG302" s="137">
        <f>IFERROR(_xlfn.XLOOKUP($D302,'Modelling New'!$D:$D,'Modelling New'!AE:AE),"")</f>
        <v>0.98040000000000005</v>
      </c>
      <c r="AH302" s="156">
        <f>IFERROR(_xlfn.XLOOKUP($D302,'Modelling New'!$D:$D,'Modelling New'!AF:AF),"")</f>
        <v>0.98</v>
      </c>
      <c r="AN302" s="134"/>
      <c r="AO302" s="137"/>
      <c r="AP302" s="137"/>
      <c r="AQ302" s="137"/>
      <c r="AR302" s="130">
        <f>'Basic Data'!$B$98/1000</f>
        <v>8.0208999999999993</v>
      </c>
    </row>
    <row r="303" spans="1:44" x14ac:dyDescent="0.3">
      <c r="A303" s="129">
        <f t="shared" si="19"/>
        <v>46046</v>
      </c>
      <c r="B303" s="130">
        <f>YEAR(Table13[[#This Row],[Date]])+IF(MONTH(Table13[[#This Row],[Date]])&gt;=4,1,0)</f>
        <v>2026</v>
      </c>
      <c r="C303" s="7">
        <f>YEAR(Table13[[#This Row],[Date]])</f>
        <v>2026</v>
      </c>
      <c r="D303" s="131">
        <f>Table13[[#This Row],[Date]]-DAY(Table13[[#This Row],[Date]])+1</f>
        <v>46023</v>
      </c>
      <c r="E303" s="7">
        <f t="shared" si="16"/>
        <v>31</v>
      </c>
      <c r="F303" s="132" t="str">
        <f>IFERROR(_xlfn.XLOOKUP($A303,'Raw Data'!$G:$G,'Raw Data'!$AM:$AM),"")</f>
        <v/>
      </c>
      <c r="G303" s="133" t="str">
        <f>IFERROR(_xlfn.XLOOKUP($A303,'Raw Data'!$G:$G,'Raw Data'!$AB:$AB),"")</f>
        <v/>
      </c>
      <c r="H303" s="133"/>
      <c r="I303" s="133" t="str">
        <f>IFERROR(_xlfn.XLOOKUP($A303,'Raw Data'!$G:$G,'Raw Data'!$AC:$AC),"")</f>
        <v/>
      </c>
      <c r="J303" s="133"/>
      <c r="K303" s="133" t="str">
        <f>IFERROR(_xlfn.XLOOKUP($A303,'Raw Data'!$G:$G,'Raw Data'!AD:AD),"")</f>
        <v/>
      </c>
      <c r="L303" s="133" t="str">
        <f>IFERROR(_xlfn.XLOOKUP($A303,'Raw Data'!$G:$G,'Raw Data'!AE:AE),"")</f>
        <v/>
      </c>
      <c r="M303" s="133" t="str">
        <f>IFERROR(_xlfn.XLOOKUP($A303,'Raw Data'!$G:$G,'Raw Data'!AF:AF),"")</f>
        <v/>
      </c>
      <c r="N303" s="133" t="str">
        <f>IFERROR(_xlfn.XLOOKUP($A303,'Raw Data'!$G:$G,'Raw Data'!AG:AG),"")</f>
        <v/>
      </c>
      <c r="O303" s="134" t="str">
        <f>IFERROR(1-SUMIF('Plant BD'!$H:$H,$A303,'Plant BD'!$AE:$AE)/($AA303+SUMIF('Plant BD'!$H:$H,$A303,'Plant BD'!$AE:$AE)),"")</f>
        <v/>
      </c>
      <c r="P303" s="134"/>
      <c r="Q303" s="135"/>
      <c r="R303" s="134" t="str">
        <f>IFERROR(1-SUMIF('Grid BD'!$H:$H,$A303,'Grid BD'!$AD:$AD)/($AA303+SUMIF('Grid BD'!$H:$H,$A303,'Grid BD'!$AD:$AD)),"")</f>
        <v/>
      </c>
      <c r="T303" s="135"/>
      <c r="U303" s="136" t="str">
        <f t="shared" si="17"/>
        <v/>
      </c>
      <c r="V303" s="136"/>
      <c r="W303" s="137" t="str">
        <f t="shared" si="18"/>
        <v/>
      </c>
      <c r="X303" s="130" t="str">
        <f>IFERROR(_xlfn.XLOOKUP($A303,'Raw Data'!$G:$G,'Raw Data'!AI:AI),"")</f>
        <v/>
      </c>
      <c r="Y303" s="130" t="str">
        <f>IFERROR(_xlfn.XLOOKUP($A303,'Raw Data'!$G:$G,'Raw Data'!AJ:AJ),"")</f>
        <v/>
      </c>
      <c r="Z303" s="130" t="str">
        <f>IFERROR(_xlfn.XLOOKUP($A303,'Raw Data'!$G:$G,'Raw Data'!AK:AK),"")</f>
        <v/>
      </c>
      <c r="AA303" s="130" t="str">
        <f>IFERROR(_xlfn.XLOOKUP($A303,'Raw Data'!$G:$G,'Raw Data'!AL:AL),"")</f>
        <v/>
      </c>
      <c r="AB303" s="130" t="str">
        <f>IFERROR(_xlfn.XLOOKUP($A303,'Raw Data'!$G:$G,'Raw Data'!H:H),"")</f>
        <v/>
      </c>
      <c r="AC303" s="76">
        <f>IFERROR(_xlfn.XLOOKUP($D303,'Modelling New'!$D:$D,'Modelling New'!P:P),"")</f>
        <v>5.9322580645161294</v>
      </c>
      <c r="AD303" s="130">
        <f>IFERROR(_xlfn.XLOOKUP($D303,'Modelling New'!$D:$D,'Modelling New'!$T:$T)*1000,"")</f>
        <v>34475.662965312498</v>
      </c>
      <c r="AE303" s="138">
        <f>IFERROR(_xlfn.XLOOKUP($D303,'Modelling New'!$D:$D,'Modelling New'!O:O),"")</f>
        <v>0.72455188248968172</v>
      </c>
      <c r="AF303" s="137">
        <f>IFERROR(_xlfn.XLOOKUP($D303,'Modelling New'!$D:$D,'Modelling New'!W:W),"")</f>
        <v>0.17909286450248987</v>
      </c>
      <c r="AG303" s="137">
        <f>IFERROR(_xlfn.XLOOKUP($D303,'Modelling New'!$D:$D,'Modelling New'!AE:AE),"")</f>
        <v>0.98040000000000005</v>
      </c>
      <c r="AH303" s="156">
        <f>IFERROR(_xlfn.XLOOKUP($D303,'Modelling New'!$D:$D,'Modelling New'!AF:AF),"")</f>
        <v>0.98</v>
      </c>
      <c r="AN303" s="134"/>
      <c r="AO303" s="137"/>
      <c r="AP303" s="137"/>
      <c r="AQ303" s="137"/>
      <c r="AR303" s="130">
        <f>'Basic Data'!$B$98/1000</f>
        <v>8.0208999999999993</v>
      </c>
    </row>
    <row r="304" spans="1:44" x14ac:dyDescent="0.3">
      <c r="A304" s="129">
        <f t="shared" si="19"/>
        <v>46047</v>
      </c>
      <c r="B304" s="130">
        <f>YEAR(Table13[[#This Row],[Date]])+IF(MONTH(Table13[[#This Row],[Date]])&gt;=4,1,0)</f>
        <v>2026</v>
      </c>
      <c r="C304" s="7">
        <f>YEAR(Table13[[#This Row],[Date]])</f>
        <v>2026</v>
      </c>
      <c r="D304" s="131">
        <f>Table13[[#This Row],[Date]]-DAY(Table13[[#This Row],[Date]])+1</f>
        <v>46023</v>
      </c>
      <c r="E304" s="7">
        <f t="shared" si="16"/>
        <v>31</v>
      </c>
      <c r="F304" s="132" t="str">
        <f>IFERROR(_xlfn.XLOOKUP($A304,'Raw Data'!$G:$G,'Raw Data'!$AM:$AM),"")</f>
        <v/>
      </c>
      <c r="G304" s="133" t="str">
        <f>IFERROR(_xlfn.XLOOKUP($A304,'Raw Data'!$G:$G,'Raw Data'!$AB:$AB),"")</f>
        <v/>
      </c>
      <c r="H304" s="133"/>
      <c r="I304" s="133" t="str">
        <f>IFERROR(_xlfn.XLOOKUP($A304,'Raw Data'!$G:$G,'Raw Data'!$AC:$AC),"")</f>
        <v/>
      </c>
      <c r="J304" s="133"/>
      <c r="K304" s="133" t="str">
        <f>IFERROR(_xlfn.XLOOKUP($A304,'Raw Data'!$G:$G,'Raw Data'!AD:AD),"")</f>
        <v/>
      </c>
      <c r="L304" s="133" t="str">
        <f>IFERROR(_xlfn.XLOOKUP($A304,'Raw Data'!$G:$G,'Raw Data'!AE:AE),"")</f>
        <v/>
      </c>
      <c r="M304" s="133" t="str">
        <f>IFERROR(_xlfn.XLOOKUP($A304,'Raw Data'!$G:$G,'Raw Data'!AF:AF),"")</f>
        <v/>
      </c>
      <c r="N304" s="133" t="str">
        <f>IFERROR(_xlfn.XLOOKUP($A304,'Raw Data'!$G:$G,'Raw Data'!AG:AG),"")</f>
        <v/>
      </c>
      <c r="O304" s="134" t="str">
        <f>IFERROR(1-SUMIF('Plant BD'!$H:$H,$A304,'Plant BD'!$AE:$AE)/($AA304+SUMIF('Plant BD'!$H:$H,$A304,'Plant BD'!$AE:$AE)),"")</f>
        <v/>
      </c>
      <c r="P304" s="134"/>
      <c r="Q304" s="135"/>
      <c r="R304" s="134" t="str">
        <f>IFERROR(1-SUMIF('Grid BD'!$H:$H,$A304,'Grid BD'!$AD:$AD)/($AA304+SUMIF('Grid BD'!$H:$H,$A304,'Grid BD'!$AD:$AD)),"")</f>
        <v/>
      </c>
      <c r="T304" s="135"/>
      <c r="U304" s="136" t="str">
        <f t="shared" si="17"/>
        <v/>
      </c>
      <c r="V304" s="136"/>
      <c r="W304" s="137" t="str">
        <f t="shared" si="18"/>
        <v/>
      </c>
      <c r="X304" s="130" t="str">
        <f>IFERROR(_xlfn.XLOOKUP($A304,'Raw Data'!$G:$G,'Raw Data'!AI:AI),"")</f>
        <v/>
      </c>
      <c r="Y304" s="130" t="str">
        <f>IFERROR(_xlfn.XLOOKUP($A304,'Raw Data'!$G:$G,'Raw Data'!AJ:AJ),"")</f>
        <v/>
      </c>
      <c r="Z304" s="130" t="str">
        <f>IFERROR(_xlfn.XLOOKUP($A304,'Raw Data'!$G:$G,'Raw Data'!AK:AK),"")</f>
        <v/>
      </c>
      <c r="AA304" s="130" t="str">
        <f>IFERROR(_xlfn.XLOOKUP($A304,'Raw Data'!$G:$G,'Raw Data'!AL:AL),"")</f>
        <v/>
      </c>
      <c r="AB304" s="130" t="str">
        <f>IFERROR(_xlfn.XLOOKUP($A304,'Raw Data'!$G:$G,'Raw Data'!H:H),"")</f>
        <v/>
      </c>
      <c r="AC304" s="76">
        <f>IFERROR(_xlfn.XLOOKUP($D304,'Modelling New'!$D:$D,'Modelling New'!P:P),"")</f>
        <v>5.9322580645161294</v>
      </c>
      <c r="AD304" s="130">
        <f>IFERROR(_xlfn.XLOOKUP($D304,'Modelling New'!$D:$D,'Modelling New'!$T:$T)*1000,"")</f>
        <v>34475.662965312498</v>
      </c>
      <c r="AE304" s="138">
        <f>IFERROR(_xlfn.XLOOKUP($D304,'Modelling New'!$D:$D,'Modelling New'!O:O),"")</f>
        <v>0.72455188248968172</v>
      </c>
      <c r="AF304" s="137">
        <f>IFERROR(_xlfn.XLOOKUP($D304,'Modelling New'!$D:$D,'Modelling New'!W:W),"")</f>
        <v>0.17909286450248987</v>
      </c>
      <c r="AG304" s="137">
        <f>IFERROR(_xlfn.XLOOKUP($D304,'Modelling New'!$D:$D,'Modelling New'!AE:AE),"")</f>
        <v>0.98040000000000005</v>
      </c>
      <c r="AH304" s="156">
        <f>IFERROR(_xlfn.XLOOKUP($D304,'Modelling New'!$D:$D,'Modelling New'!AF:AF),"")</f>
        <v>0.98</v>
      </c>
      <c r="AN304" s="134"/>
      <c r="AO304" s="137"/>
      <c r="AP304" s="137"/>
      <c r="AQ304" s="137"/>
      <c r="AR304" s="130">
        <f>'Basic Data'!$B$98/1000</f>
        <v>8.0208999999999993</v>
      </c>
    </row>
    <row r="305" spans="1:44" x14ac:dyDescent="0.3">
      <c r="A305" s="129">
        <f t="shared" si="19"/>
        <v>46048</v>
      </c>
      <c r="B305" s="130">
        <f>YEAR(Table13[[#This Row],[Date]])+IF(MONTH(Table13[[#This Row],[Date]])&gt;=4,1,0)</f>
        <v>2026</v>
      </c>
      <c r="C305" s="7">
        <f>YEAR(Table13[[#This Row],[Date]])</f>
        <v>2026</v>
      </c>
      <c r="D305" s="131">
        <f>Table13[[#This Row],[Date]]-DAY(Table13[[#This Row],[Date]])+1</f>
        <v>46023</v>
      </c>
      <c r="E305" s="7">
        <f t="shared" si="16"/>
        <v>31</v>
      </c>
      <c r="F305" s="132" t="str">
        <f>IFERROR(_xlfn.XLOOKUP($A305,'Raw Data'!$G:$G,'Raw Data'!$AM:$AM),"")</f>
        <v/>
      </c>
      <c r="G305" s="133" t="str">
        <f>IFERROR(_xlfn.XLOOKUP($A305,'Raw Data'!$G:$G,'Raw Data'!$AB:$AB),"")</f>
        <v/>
      </c>
      <c r="H305" s="133"/>
      <c r="I305" s="133" t="str">
        <f>IFERROR(_xlfn.XLOOKUP($A305,'Raw Data'!$G:$G,'Raw Data'!$AC:$AC),"")</f>
        <v/>
      </c>
      <c r="J305" s="133"/>
      <c r="K305" s="133" t="str">
        <f>IFERROR(_xlfn.XLOOKUP($A305,'Raw Data'!$G:$G,'Raw Data'!AD:AD),"")</f>
        <v/>
      </c>
      <c r="L305" s="133" t="str">
        <f>IFERROR(_xlfn.XLOOKUP($A305,'Raw Data'!$G:$G,'Raw Data'!AE:AE),"")</f>
        <v/>
      </c>
      <c r="M305" s="133" t="str">
        <f>IFERROR(_xlfn.XLOOKUP($A305,'Raw Data'!$G:$G,'Raw Data'!AF:AF),"")</f>
        <v/>
      </c>
      <c r="N305" s="133" t="str">
        <f>IFERROR(_xlfn.XLOOKUP($A305,'Raw Data'!$G:$G,'Raw Data'!AG:AG),"")</f>
        <v/>
      </c>
      <c r="O305" s="134" t="str">
        <f>IFERROR(1-SUMIF('Plant BD'!$H:$H,$A305,'Plant BD'!$AE:$AE)/($AA305+SUMIF('Plant BD'!$H:$H,$A305,'Plant BD'!$AE:$AE)),"")</f>
        <v/>
      </c>
      <c r="P305" s="134"/>
      <c r="Q305" s="135"/>
      <c r="R305" s="134" t="str">
        <f>IFERROR(1-SUMIF('Grid BD'!$H:$H,$A305,'Grid BD'!$AD:$AD)/($AA305+SUMIF('Grid BD'!$H:$H,$A305,'Grid BD'!$AD:$AD)),"")</f>
        <v/>
      </c>
      <c r="T305" s="135"/>
      <c r="U305" s="136" t="str">
        <f t="shared" si="17"/>
        <v/>
      </c>
      <c r="V305" s="136"/>
      <c r="W305" s="137" t="str">
        <f t="shared" si="18"/>
        <v/>
      </c>
      <c r="X305" s="130" t="str">
        <f>IFERROR(_xlfn.XLOOKUP($A305,'Raw Data'!$G:$G,'Raw Data'!AI:AI),"")</f>
        <v/>
      </c>
      <c r="Y305" s="130" t="str">
        <f>IFERROR(_xlfn.XLOOKUP($A305,'Raw Data'!$G:$G,'Raw Data'!AJ:AJ),"")</f>
        <v/>
      </c>
      <c r="Z305" s="130" t="str">
        <f>IFERROR(_xlfn.XLOOKUP($A305,'Raw Data'!$G:$G,'Raw Data'!AK:AK),"")</f>
        <v/>
      </c>
      <c r="AA305" s="130" t="str">
        <f>IFERROR(_xlfn.XLOOKUP($A305,'Raw Data'!$G:$G,'Raw Data'!AL:AL),"")</f>
        <v/>
      </c>
      <c r="AB305" s="130" t="str">
        <f>IFERROR(_xlfn.XLOOKUP($A305,'Raw Data'!$G:$G,'Raw Data'!H:H),"")</f>
        <v/>
      </c>
      <c r="AC305" s="76">
        <f>IFERROR(_xlfn.XLOOKUP($D305,'Modelling New'!$D:$D,'Modelling New'!P:P),"")</f>
        <v>5.9322580645161294</v>
      </c>
      <c r="AD305" s="130">
        <f>IFERROR(_xlfn.XLOOKUP($D305,'Modelling New'!$D:$D,'Modelling New'!$T:$T)*1000,"")</f>
        <v>34475.662965312498</v>
      </c>
      <c r="AE305" s="138">
        <f>IFERROR(_xlfn.XLOOKUP($D305,'Modelling New'!$D:$D,'Modelling New'!O:O),"")</f>
        <v>0.72455188248968172</v>
      </c>
      <c r="AF305" s="137">
        <f>IFERROR(_xlfn.XLOOKUP($D305,'Modelling New'!$D:$D,'Modelling New'!W:W),"")</f>
        <v>0.17909286450248987</v>
      </c>
      <c r="AG305" s="137">
        <f>IFERROR(_xlfn.XLOOKUP($D305,'Modelling New'!$D:$D,'Modelling New'!AE:AE),"")</f>
        <v>0.98040000000000005</v>
      </c>
      <c r="AH305" s="156">
        <f>IFERROR(_xlfn.XLOOKUP($D305,'Modelling New'!$D:$D,'Modelling New'!AF:AF),"")</f>
        <v>0.98</v>
      </c>
      <c r="AN305" s="134"/>
      <c r="AO305" s="137"/>
      <c r="AP305" s="137"/>
      <c r="AQ305" s="137"/>
      <c r="AR305" s="130">
        <f>'Basic Data'!$B$98/1000</f>
        <v>8.0208999999999993</v>
      </c>
    </row>
    <row r="306" spans="1:44" x14ac:dyDescent="0.3">
      <c r="A306" s="129">
        <f t="shared" si="19"/>
        <v>46049</v>
      </c>
      <c r="B306" s="130">
        <f>YEAR(Table13[[#This Row],[Date]])+IF(MONTH(Table13[[#This Row],[Date]])&gt;=4,1,0)</f>
        <v>2026</v>
      </c>
      <c r="C306" s="7">
        <f>YEAR(Table13[[#This Row],[Date]])</f>
        <v>2026</v>
      </c>
      <c r="D306" s="131">
        <f>Table13[[#This Row],[Date]]-DAY(Table13[[#This Row],[Date]])+1</f>
        <v>46023</v>
      </c>
      <c r="E306" s="7">
        <f t="shared" si="16"/>
        <v>31</v>
      </c>
      <c r="F306" s="132" t="str">
        <f>IFERROR(_xlfn.XLOOKUP($A306,'Raw Data'!$G:$G,'Raw Data'!$AM:$AM),"")</f>
        <v/>
      </c>
      <c r="G306" s="133" t="str">
        <f>IFERROR(_xlfn.XLOOKUP($A306,'Raw Data'!$G:$G,'Raw Data'!$AB:$AB),"")</f>
        <v/>
      </c>
      <c r="H306" s="133"/>
      <c r="I306" s="133" t="str">
        <f>IFERROR(_xlfn.XLOOKUP($A306,'Raw Data'!$G:$G,'Raw Data'!$AC:$AC),"")</f>
        <v/>
      </c>
      <c r="J306" s="133"/>
      <c r="K306" s="133" t="str">
        <f>IFERROR(_xlfn.XLOOKUP($A306,'Raw Data'!$G:$G,'Raw Data'!AD:AD),"")</f>
        <v/>
      </c>
      <c r="L306" s="133" t="str">
        <f>IFERROR(_xlfn.XLOOKUP($A306,'Raw Data'!$G:$G,'Raw Data'!AE:AE),"")</f>
        <v/>
      </c>
      <c r="M306" s="133" t="str">
        <f>IFERROR(_xlfn.XLOOKUP($A306,'Raw Data'!$G:$G,'Raw Data'!AF:AF),"")</f>
        <v/>
      </c>
      <c r="N306" s="133" t="str">
        <f>IFERROR(_xlfn.XLOOKUP($A306,'Raw Data'!$G:$G,'Raw Data'!AG:AG),"")</f>
        <v/>
      </c>
      <c r="O306" s="134" t="str">
        <f>IFERROR(1-SUMIF('Plant BD'!$H:$H,$A306,'Plant BD'!$AE:$AE)/($AA306+SUMIF('Plant BD'!$H:$H,$A306,'Plant BD'!$AE:$AE)),"")</f>
        <v/>
      </c>
      <c r="P306" s="134"/>
      <c r="Q306" s="135"/>
      <c r="R306" s="134" t="str">
        <f>IFERROR(1-SUMIF('Grid BD'!$H:$H,$A306,'Grid BD'!$AD:$AD)/($AA306+SUMIF('Grid BD'!$H:$H,$A306,'Grid BD'!$AD:$AD)),"")</f>
        <v/>
      </c>
      <c r="T306" s="135"/>
      <c r="U306" s="136" t="str">
        <f t="shared" si="17"/>
        <v/>
      </c>
      <c r="V306" s="136"/>
      <c r="W306" s="137" t="str">
        <f t="shared" si="18"/>
        <v/>
      </c>
      <c r="X306" s="130" t="str">
        <f>IFERROR(_xlfn.XLOOKUP($A306,'Raw Data'!$G:$G,'Raw Data'!AI:AI),"")</f>
        <v/>
      </c>
      <c r="Y306" s="130" t="str">
        <f>IFERROR(_xlfn.XLOOKUP($A306,'Raw Data'!$G:$G,'Raw Data'!AJ:AJ),"")</f>
        <v/>
      </c>
      <c r="Z306" s="130" t="str">
        <f>IFERROR(_xlfn.XLOOKUP($A306,'Raw Data'!$G:$G,'Raw Data'!AK:AK),"")</f>
        <v/>
      </c>
      <c r="AA306" s="130" t="str">
        <f>IFERROR(_xlfn.XLOOKUP($A306,'Raw Data'!$G:$G,'Raw Data'!AL:AL),"")</f>
        <v/>
      </c>
      <c r="AB306" s="130" t="str">
        <f>IFERROR(_xlfn.XLOOKUP($A306,'Raw Data'!$G:$G,'Raw Data'!H:H),"")</f>
        <v/>
      </c>
      <c r="AC306" s="76">
        <f>IFERROR(_xlfn.XLOOKUP($D306,'Modelling New'!$D:$D,'Modelling New'!P:P),"")</f>
        <v>5.9322580645161294</v>
      </c>
      <c r="AD306" s="130">
        <f>IFERROR(_xlfn.XLOOKUP($D306,'Modelling New'!$D:$D,'Modelling New'!$T:$T)*1000,"")</f>
        <v>34475.662965312498</v>
      </c>
      <c r="AE306" s="138">
        <f>IFERROR(_xlfn.XLOOKUP($D306,'Modelling New'!$D:$D,'Modelling New'!O:O),"")</f>
        <v>0.72455188248968172</v>
      </c>
      <c r="AF306" s="137">
        <f>IFERROR(_xlfn.XLOOKUP($D306,'Modelling New'!$D:$D,'Modelling New'!W:W),"")</f>
        <v>0.17909286450248987</v>
      </c>
      <c r="AG306" s="137">
        <f>IFERROR(_xlfn.XLOOKUP($D306,'Modelling New'!$D:$D,'Modelling New'!AE:AE),"")</f>
        <v>0.98040000000000005</v>
      </c>
      <c r="AH306" s="156">
        <f>IFERROR(_xlfn.XLOOKUP($D306,'Modelling New'!$D:$D,'Modelling New'!AF:AF),"")</f>
        <v>0.98</v>
      </c>
      <c r="AN306" s="134"/>
      <c r="AO306" s="137"/>
      <c r="AP306" s="137"/>
      <c r="AQ306" s="137"/>
      <c r="AR306" s="130">
        <f>'Basic Data'!$B$98/1000</f>
        <v>8.0208999999999993</v>
      </c>
    </row>
    <row r="307" spans="1:44" x14ac:dyDescent="0.3">
      <c r="A307" s="129">
        <f t="shared" si="19"/>
        <v>46050</v>
      </c>
      <c r="B307" s="130">
        <f>YEAR(Table13[[#This Row],[Date]])+IF(MONTH(Table13[[#This Row],[Date]])&gt;=4,1,0)</f>
        <v>2026</v>
      </c>
      <c r="C307" s="7">
        <f>YEAR(Table13[[#This Row],[Date]])</f>
        <v>2026</v>
      </c>
      <c r="D307" s="131">
        <f>Table13[[#This Row],[Date]]-DAY(Table13[[#This Row],[Date]])+1</f>
        <v>46023</v>
      </c>
      <c r="E307" s="7">
        <f t="shared" si="16"/>
        <v>31</v>
      </c>
      <c r="F307" s="132" t="str">
        <f>IFERROR(_xlfn.XLOOKUP($A307,'Raw Data'!$G:$G,'Raw Data'!$AM:$AM),"")</f>
        <v/>
      </c>
      <c r="G307" s="133" t="str">
        <f>IFERROR(_xlfn.XLOOKUP($A307,'Raw Data'!$G:$G,'Raw Data'!$AB:$AB),"")</f>
        <v/>
      </c>
      <c r="H307" s="133"/>
      <c r="I307" s="133" t="str">
        <f>IFERROR(_xlfn.XLOOKUP($A307,'Raw Data'!$G:$G,'Raw Data'!$AC:$AC),"")</f>
        <v/>
      </c>
      <c r="J307" s="133"/>
      <c r="K307" s="133" t="str">
        <f>IFERROR(_xlfn.XLOOKUP($A307,'Raw Data'!$G:$G,'Raw Data'!AD:AD),"")</f>
        <v/>
      </c>
      <c r="L307" s="133" t="str">
        <f>IFERROR(_xlfn.XLOOKUP($A307,'Raw Data'!$G:$G,'Raw Data'!AE:AE),"")</f>
        <v/>
      </c>
      <c r="M307" s="133" t="str">
        <f>IFERROR(_xlfn.XLOOKUP($A307,'Raw Data'!$G:$G,'Raw Data'!AF:AF),"")</f>
        <v/>
      </c>
      <c r="N307" s="133" t="str">
        <f>IFERROR(_xlfn.XLOOKUP($A307,'Raw Data'!$G:$G,'Raw Data'!AG:AG),"")</f>
        <v/>
      </c>
      <c r="O307" s="134" t="str">
        <f>IFERROR(1-SUMIF('Plant BD'!$H:$H,$A307,'Plant BD'!$AE:$AE)/($AA307+SUMIF('Plant BD'!$H:$H,$A307,'Plant BD'!$AE:$AE)),"")</f>
        <v/>
      </c>
      <c r="P307" s="134"/>
      <c r="Q307" s="135"/>
      <c r="R307" s="134" t="str">
        <f>IFERROR(1-SUMIF('Grid BD'!$H:$H,$A307,'Grid BD'!$AD:$AD)/($AA307+SUMIF('Grid BD'!$H:$H,$A307,'Grid BD'!$AD:$AD)),"")</f>
        <v/>
      </c>
      <c r="T307" s="135"/>
      <c r="U307" s="136" t="str">
        <f t="shared" si="17"/>
        <v/>
      </c>
      <c r="V307" s="136"/>
      <c r="W307" s="137" t="str">
        <f t="shared" si="18"/>
        <v/>
      </c>
      <c r="X307" s="130" t="str">
        <f>IFERROR(_xlfn.XLOOKUP($A307,'Raw Data'!$G:$G,'Raw Data'!AI:AI),"")</f>
        <v/>
      </c>
      <c r="Y307" s="130" t="str">
        <f>IFERROR(_xlfn.XLOOKUP($A307,'Raw Data'!$G:$G,'Raw Data'!AJ:AJ),"")</f>
        <v/>
      </c>
      <c r="Z307" s="130" t="str">
        <f>IFERROR(_xlfn.XLOOKUP($A307,'Raw Data'!$G:$G,'Raw Data'!AK:AK),"")</f>
        <v/>
      </c>
      <c r="AA307" s="130" t="str">
        <f>IFERROR(_xlfn.XLOOKUP($A307,'Raw Data'!$G:$G,'Raw Data'!AL:AL),"")</f>
        <v/>
      </c>
      <c r="AB307" s="130" t="str">
        <f>IFERROR(_xlfn.XLOOKUP($A307,'Raw Data'!$G:$G,'Raw Data'!H:H),"")</f>
        <v/>
      </c>
      <c r="AC307" s="76">
        <f>IFERROR(_xlfn.XLOOKUP($D307,'Modelling New'!$D:$D,'Modelling New'!P:P),"")</f>
        <v>5.9322580645161294</v>
      </c>
      <c r="AD307" s="130">
        <f>IFERROR(_xlfn.XLOOKUP($D307,'Modelling New'!$D:$D,'Modelling New'!$T:$T)*1000,"")</f>
        <v>34475.662965312498</v>
      </c>
      <c r="AE307" s="138">
        <f>IFERROR(_xlfn.XLOOKUP($D307,'Modelling New'!$D:$D,'Modelling New'!O:O),"")</f>
        <v>0.72455188248968172</v>
      </c>
      <c r="AF307" s="137">
        <f>IFERROR(_xlfn.XLOOKUP($D307,'Modelling New'!$D:$D,'Modelling New'!W:W),"")</f>
        <v>0.17909286450248987</v>
      </c>
      <c r="AG307" s="137">
        <f>IFERROR(_xlfn.XLOOKUP($D307,'Modelling New'!$D:$D,'Modelling New'!AE:AE),"")</f>
        <v>0.98040000000000005</v>
      </c>
      <c r="AH307" s="156">
        <f>IFERROR(_xlfn.XLOOKUP($D307,'Modelling New'!$D:$D,'Modelling New'!AF:AF),"")</f>
        <v>0.98</v>
      </c>
      <c r="AN307" s="134"/>
      <c r="AO307" s="137"/>
      <c r="AP307" s="137"/>
      <c r="AQ307" s="137"/>
      <c r="AR307" s="130">
        <f>'Basic Data'!$B$98/1000</f>
        <v>8.0208999999999993</v>
      </c>
    </row>
    <row r="308" spans="1:44" x14ac:dyDescent="0.3">
      <c r="A308" s="129">
        <f t="shared" si="19"/>
        <v>46051</v>
      </c>
      <c r="B308" s="130">
        <f>YEAR(Table13[[#This Row],[Date]])+IF(MONTH(Table13[[#This Row],[Date]])&gt;=4,1,0)</f>
        <v>2026</v>
      </c>
      <c r="C308" s="7">
        <f>YEAR(Table13[[#This Row],[Date]])</f>
        <v>2026</v>
      </c>
      <c r="D308" s="131">
        <f>Table13[[#This Row],[Date]]-DAY(Table13[[#This Row],[Date]])+1</f>
        <v>46023</v>
      </c>
      <c r="E308" s="7">
        <f t="shared" si="16"/>
        <v>31</v>
      </c>
      <c r="F308" s="132" t="str">
        <f>IFERROR(_xlfn.XLOOKUP($A308,'Raw Data'!$G:$G,'Raw Data'!$AM:$AM),"")</f>
        <v/>
      </c>
      <c r="G308" s="133" t="str">
        <f>IFERROR(_xlfn.XLOOKUP($A308,'Raw Data'!$G:$G,'Raw Data'!$AB:$AB),"")</f>
        <v/>
      </c>
      <c r="H308" s="133"/>
      <c r="I308" s="133" t="str">
        <f>IFERROR(_xlfn.XLOOKUP($A308,'Raw Data'!$G:$G,'Raw Data'!$AC:$AC),"")</f>
        <v/>
      </c>
      <c r="J308" s="133"/>
      <c r="K308" s="133" t="str">
        <f>IFERROR(_xlfn.XLOOKUP($A308,'Raw Data'!$G:$G,'Raw Data'!AD:AD),"")</f>
        <v/>
      </c>
      <c r="L308" s="133" t="str">
        <f>IFERROR(_xlfn.XLOOKUP($A308,'Raw Data'!$G:$G,'Raw Data'!AE:AE),"")</f>
        <v/>
      </c>
      <c r="M308" s="133" t="str">
        <f>IFERROR(_xlfn.XLOOKUP($A308,'Raw Data'!$G:$G,'Raw Data'!AF:AF),"")</f>
        <v/>
      </c>
      <c r="N308" s="133" t="str">
        <f>IFERROR(_xlfn.XLOOKUP($A308,'Raw Data'!$G:$G,'Raw Data'!AG:AG),"")</f>
        <v/>
      </c>
      <c r="O308" s="134" t="str">
        <f>IFERROR(1-SUMIF('Plant BD'!$H:$H,$A308,'Plant BD'!$AE:$AE)/($AA308+SUMIF('Plant BD'!$H:$H,$A308,'Plant BD'!$AE:$AE)),"")</f>
        <v/>
      </c>
      <c r="P308" s="134"/>
      <c r="Q308" s="135"/>
      <c r="R308" s="134" t="str">
        <f>IFERROR(1-SUMIF('Grid BD'!$H:$H,$A308,'Grid BD'!$AD:$AD)/($AA308+SUMIF('Grid BD'!$H:$H,$A308,'Grid BD'!$AD:$AD)),"")</f>
        <v/>
      </c>
      <c r="T308" s="135"/>
      <c r="U308" s="136" t="str">
        <f t="shared" si="17"/>
        <v/>
      </c>
      <c r="V308" s="136"/>
      <c r="W308" s="137" t="str">
        <f t="shared" si="18"/>
        <v/>
      </c>
      <c r="X308" s="130" t="str">
        <f>IFERROR(_xlfn.XLOOKUP($A308,'Raw Data'!$G:$G,'Raw Data'!AI:AI),"")</f>
        <v/>
      </c>
      <c r="Y308" s="130" t="str">
        <f>IFERROR(_xlfn.XLOOKUP($A308,'Raw Data'!$G:$G,'Raw Data'!AJ:AJ),"")</f>
        <v/>
      </c>
      <c r="Z308" s="130" t="str">
        <f>IFERROR(_xlfn.XLOOKUP($A308,'Raw Data'!$G:$G,'Raw Data'!AK:AK),"")</f>
        <v/>
      </c>
      <c r="AA308" s="130" t="str">
        <f>IFERROR(_xlfn.XLOOKUP($A308,'Raw Data'!$G:$G,'Raw Data'!AL:AL),"")</f>
        <v/>
      </c>
      <c r="AB308" s="130" t="str">
        <f>IFERROR(_xlfn.XLOOKUP($A308,'Raw Data'!$G:$G,'Raw Data'!H:H),"")</f>
        <v/>
      </c>
      <c r="AC308" s="76">
        <f>IFERROR(_xlfn.XLOOKUP($D308,'Modelling New'!$D:$D,'Modelling New'!P:P),"")</f>
        <v>5.9322580645161294</v>
      </c>
      <c r="AD308" s="130">
        <f>IFERROR(_xlfn.XLOOKUP($D308,'Modelling New'!$D:$D,'Modelling New'!$T:$T)*1000,"")</f>
        <v>34475.662965312498</v>
      </c>
      <c r="AE308" s="138">
        <f>IFERROR(_xlfn.XLOOKUP($D308,'Modelling New'!$D:$D,'Modelling New'!O:O),"")</f>
        <v>0.72455188248968172</v>
      </c>
      <c r="AF308" s="137">
        <f>IFERROR(_xlfn.XLOOKUP($D308,'Modelling New'!$D:$D,'Modelling New'!W:W),"")</f>
        <v>0.17909286450248987</v>
      </c>
      <c r="AG308" s="137">
        <f>IFERROR(_xlfn.XLOOKUP($D308,'Modelling New'!$D:$D,'Modelling New'!AE:AE),"")</f>
        <v>0.98040000000000005</v>
      </c>
      <c r="AH308" s="156">
        <f>IFERROR(_xlfn.XLOOKUP($D308,'Modelling New'!$D:$D,'Modelling New'!AF:AF),"")</f>
        <v>0.98</v>
      </c>
      <c r="AN308" s="134"/>
      <c r="AO308" s="137"/>
      <c r="AP308" s="137"/>
      <c r="AQ308" s="137"/>
      <c r="AR308" s="130">
        <f>'Basic Data'!$B$98/1000</f>
        <v>8.0208999999999993</v>
      </c>
    </row>
    <row r="309" spans="1:44" x14ac:dyDescent="0.3">
      <c r="A309" s="129">
        <f t="shared" si="19"/>
        <v>46052</v>
      </c>
      <c r="B309" s="130">
        <f>YEAR(Table13[[#This Row],[Date]])+IF(MONTH(Table13[[#This Row],[Date]])&gt;=4,1,0)</f>
        <v>2026</v>
      </c>
      <c r="C309" s="7">
        <f>YEAR(Table13[[#This Row],[Date]])</f>
        <v>2026</v>
      </c>
      <c r="D309" s="131">
        <f>Table13[[#This Row],[Date]]-DAY(Table13[[#This Row],[Date]])+1</f>
        <v>46023</v>
      </c>
      <c r="E309" s="7">
        <f t="shared" ref="E309:E369" si="20">DAY(EOMONTH(A309,0))</f>
        <v>31</v>
      </c>
      <c r="F309" s="132" t="str">
        <f>IFERROR(_xlfn.XLOOKUP($A309,'Raw Data'!$G:$G,'Raw Data'!$AM:$AM),"")</f>
        <v/>
      </c>
      <c r="G309" s="133" t="str">
        <f>IFERROR(_xlfn.XLOOKUP($A309,'Raw Data'!$G:$G,'Raw Data'!$AB:$AB),"")</f>
        <v/>
      </c>
      <c r="H309" s="133"/>
      <c r="I309" s="133" t="str">
        <f>IFERROR(_xlfn.XLOOKUP($A309,'Raw Data'!$G:$G,'Raw Data'!$AC:$AC),"")</f>
        <v/>
      </c>
      <c r="J309" s="133"/>
      <c r="K309" s="133" t="str">
        <f>IFERROR(_xlfn.XLOOKUP($A309,'Raw Data'!$G:$G,'Raw Data'!AD:AD),"")</f>
        <v/>
      </c>
      <c r="L309" s="133" t="str">
        <f>IFERROR(_xlfn.XLOOKUP($A309,'Raw Data'!$G:$G,'Raw Data'!AE:AE),"")</f>
        <v/>
      </c>
      <c r="M309" s="133" t="str">
        <f>IFERROR(_xlfn.XLOOKUP($A309,'Raw Data'!$G:$G,'Raw Data'!AF:AF),"")</f>
        <v/>
      </c>
      <c r="N309" s="133" t="str">
        <f>IFERROR(_xlfn.XLOOKUP($A309,'Raw Data'!$G:$G,'Raw Data'!AG:AG),"")</f>
        <v/>
      </c>
      <c r="O309" s="134" t="str">
        <f>IFERROR(1-SUMIF('Plant BD'!$H:$H,$A309,'Plant BD'!$AE:$AE)/($AA309+SUMIF('Plant BD'!$H:$H,$A309,'Plant BD'!$AE:$AE)),"")</f>
        <v/>
      </c>
      <c r="P309" s="134"/>
      <c r="Q309" s="135"/>
      <c r="R309" s="134" t="str">
        <f>IFERROR(1-SUMIF('Grid BD'!$H:$H,$A309,'Grid BD'!$AD:$AD)/($AA309+SUMIF('Grid BD'!$H:$H,$A309,'Grid BD'!$AD:$AD)),"")</f>
        <v/>
      </c>
      <c r="T309" s="135"/>
      <c r="U309" s="136" t="str">
        <f t="shared" ref="U309:U369" si="21">IFERROR(AA309/I309/AB309/1000,"")</f>
        <v/>
      </c>
      <c r="V309" s="136"/>
      <c r="W309" s="137" t="str">
        <f t="shared" ref="W309:W369" si="22">IFERROR(AA309/(24*AB309*1000),"")</f>
        <v/>
      </c>
      <c r="X309" s="130" t="str">
        <f>IFERROR(_xlfn.XLOOKUP($A309,'Raw Data'!$G:$G,'Raw Data'!AI:AI),"")</f>
        <v/>
      </c>
      <c r="Y309" s="130" t="str">
        <f>IFERROR(_xlfn.XLOOKUP($A309,'Raw Data'!$G:$G,'Raw Data'!AJ:AJ),"")</f>
        <v/>
      </c>
      <c r="Z309" s="130" t="str">
        <f>IFERROR(_xlfn.XLOOKUP($A309,'Raw Data'!$G:$G,'Raw Data'!AK:AK),"")</f>
        <v/>
      </c>
      <c r="AA309" s="130" t="str">
        <f>IFERROR(_xlfn.XLOOKUP($A309,'Raw Data'!$G:$G,'Raw Data'!AL:AL),"")</f>
        <v/>
      </c>
      <c r="AB309" s="130" t="str">
        <f>IFERROR(_xlfn.XLOOKUP($A309,'Raw Data'!$G:$G,'Raw Data'!H:H),"")</f>
        <v/>
      </c>
      <c r="AC309" s="76">
        <f>IFERROR(_xlfn.XLOOKUP($D309,'Modelling New'!$D:$D,'Modelling New'!P:P),"")</f>
        <v>5.9322580645161294</v>
      </c>
      <c r="AD309" s="130">
        <f>IFERROR(_xlfn.XLOOKUP($D309,'Modelling New'!$D:$D,'Modelling New'!$T:$T)*1000,"")</f>
        <v>34475.662965312498</v>
      </c>
      <c r="AE309" s="138">
        <f>IFERROR(_xlfn.XLOOKUP($D309,'Modelling New'!$D:$D,'Modelling New'!O:O),"")</f>
        <v>0.72455188248968172</v>
      </c>
      <c r="AF309" s="137">
        <f>IFERROR(_xlfn.XLOOKUP($D309,'Modelling New'!$D:$D,'Modelling New'!W:W),"")</f>
        <v>0.17909286450248987</v>
      </c>
      <c r="AG309" s="137">
        <f>IFERROR(_xlfn.XLOOKUP($D309,'Modelling New'!$D:$D,'Modelling New'!AE:AE),"")</f>
        <v>0.98040000000000005</v>
      </c>
      <c r="AH309" s="156">
        <f>IFERROR(_xlfn.XLOOKUP($D309,'Modelling New'!$D:$D,'Modelling New'!AF:AF),"")</f>
        <v>0.98</v>
      </c>
      <c r="AN309" s="134"/>
      <c r="AO309" s="137"/>
      <c r="AP309" s="137"/>
      <c r="AQ309" s="137"/>
      <c r="AR309" s="130">
        <f>'Basic Data'!$B$98/1000</f>
        <v>8.0208999999999993</v>
      </c>
    </row>
    <row r="310" spans="1:44" x14ac:dyDescent="0.3">
      <c r="A310" s="129">
        <f t="shared" ref="A310:A369" si="23">A309+1</f>
        <v>46053</v>
      </c>
      <c r="B310" s="130">
        <f>YEAR(Table13[[#This Row],[Date]])+IF(MONTH(Table13[[#This Row],[Date]])&gt;=4,1,0)</f>
        <v>2026</v>
      </c>
      <c r="C310" s="7">
        <f>YEAR(Table13[[#This Row],[Date]])</f>
        <v>2026</v>
      </c>
      <c r="D310" s="131">
        <f>Table13[[#This Row],[Date]]-DAY(Table13[[#This Row],[Date]])+1</f>
        <v>46023</v>
      </c>
      <c r="E310" s="7">
        <f t="shared" si="20"/>
        <v>31</v>
      </c>
      <c r="F310" s="132" t="str">
        <f>IFERROR(_xlfn.XLOOKUP($A310,'Raw Data'!$G:$G,'Raw Data'!$AM:$AM),"")</f>
        <v/>
      </c>
      <c r="G310" s="133" t="str">
        <f>IFERROR(_xlfn.XLOOKUP($A310,'Raw Data'!$G:$G,'Raw Data'!$AB:$AB),"")</f>
        <v/>
      </c>
      <c r="H310" s="133"/>
      <c r="I310" s="133" t="str">
        <f>IFERROR(_xlfn.XLOOKUP($A310,'Raw Data'!$G:$G,'Raw Data'!$AC:$AC),"")</f>
        <v/>
      </c>
      <c r="J310" s="133"/>
      <c r="K310" s="133" t="str">
        <f>IFERROR(_xlfn.XLOOKUP($A310,'Raw Data'!$G:$G,'Raw Data'!AD:AD),"")</f>
        <v/>
      </c>
      <c r="L310" s="133" t="str">
        <f>IFERROR(_xlfn.XLOOKUP($A310,'Raw Data'!$G:$G,'Raw Data'!AE:AE),"")</f>
        <v/>
      </c>
      <c r="M310" s="133" t="str">
        <f>IFERROR(_xlfn.XLOOKUP($A310,'Raw Data'!$G:$G,'Raw Data'!AF:AF),"")</f>
        <v/>
      </c>
      <c r="N310" s="133" t="str">
        <f>IFERROR(_xlfn.XLOOKUP($A310,'Raw Data'!$G:$G,'Raw Data'!AG:AG),"")</f>
        <v/>
      </c>
      <c r="O310" s="134" t="str">
        <f>IFERROR(1-SUMIF('Plant BD'!$H:$H,$A310,'Plant BD'!$AE:$AE)/($AA310+SUMIF('Plant BD'!$H:$H,$A310,'Plant BD'!$AE:$AE)),"")</f>
        <v/>
      </c>
      <c r="P310" s="134"/>
      <c r="Q310" s="135"/>
      <c r="R310" s="134" t="str">
        <f>IFERROR(1-SUMIF('Grid BD'!$H:$H,$A310,'Grid BD'!$AD:$AD)/($AA310+SUMIF('Grid BD'!$H:$H,$A310,'Grid BD'!$AD:$AD)),"")</f>
        <v/>
      </c>
      <c r="T310" s="135"/>
      <c r="U310" s="136" t="str">
        <f t="shared" si="21"/>
        <v/>
      </c>
      <c r="V310" s="136"/>
      <c r="W310" s="137" t="str">
        <f t="shared" si="22"/>
        <v/>
      </c>
      <c r="X310" s="130" t="str">
        <f>IFERROR(_xlfn.XLOOKUP($A310,'Raw Data'!$G:$G,'Raw Data'!AI:AI),"")</f>
        <v/>
      </c>
      <c r="Y310" s="130" t="str">
        <f>IFERROR(_xlfn.XLOOKUP($A310,'Raw Data'!$G:$G,'Raw Data'!AJ:AJ),"")</f>
        <v/>
      </c>
      <c r="Z310" s="130" t="str">
        <f>IFERROR(_xlfn.XLOOKUP($A310,'Raw Data'!$G:$G,'Raw Data'!AK:AK),"")</f>
        <v/>
      </c>
      <c r="AA310" s="130" t="str">
        <f>IFERROR(_xlfn.XLOOKUP($A310,'Raw Data'!$G:$G,'Raw Data'!AL:AL),"")</f>
        <v/>
      </c>
      <c r="AB310" s="130" t="str">
        <f>IFERROR(_xlfn.XLOOKUP($A310,'Raw Data'!$G:$G,'Raw Data'!H:H),"")</f>
        <v/>
      </c>
      <c r="AC310" s="76">
        <f>IFERROR(_xlfn.XLOOKUP($D310,'Modelling New'!$D:$D,'Modelling New'!P:P),"")</f>
        <v>5.9322580645161294</v>
      </c>
      <c r="AD310" s="130">
        <f>IFERROR(_xlfn.XLOOKUP($D310,'Modelling New'!$D:$D,'Modelling New'!$T:$T)*1000,"")</f>
        <v>34475.662965312498</v>
      </c>
      <c r="AE310" s="138">
        <f>IFERROR(_xlfn.XLOOKUP($D310,'Modelling New'!$D:$D,'Modelling New'!O:O),"")</f>
        <v>0.72455188248968172</v>
      </c>
      <c r="AF310" s="137">
        <f>IFERROR(_xlfn.XLOOKUP($D310,'Modelling New'!$D:$D,'Modelling New'!W:W),"")</f>
        <v>0.17909286450248987</v>
      </c>
      <c r="AG310" s="137">
        <f>IFERROR(_xlfn.XLOOKUP($D310,'Modelling New'!$D:$D,'Modelling New'!AE:AE),"")</f>
        <v>0.98040000000000005</v>
      </c>
      <c r="AH310" s="156">
        <f>IFERROR(_xlfn.XLOOKUP($D310,'Modelling New'!$D:$D,'Modelling New'!AF:AF),"")</f>
        <v>0.98</v>
      </c>
      <c r="AN310" s="134"/>
      <c r="AO310" s="137"/>
      <c r="AP310" s="137"/>
      <c r="AQ310" s="137"/>
      <c r="AR310" s="130">
        <f>'Basic Data'!$B$98/1000</f>
        <v>8.0208999999999993</v>
      </c>
    </row>
    <row r="311" spans="1:44" x14ac:dyDescent="0.3">
      <c r="A311" s="129">
        <f t="shared" si="23"/>
        <v>46054</v>
      </c>
      <c r="B311" s="130">
        <f>YEAR(Table13[[#This Row],[Date]])+IF(MONTH(Table13[[#This Row],[Date]])&gt;=4,1,0)</f>
        <v>2026</v>
      </c>
      <c r="C311" s="7">
        <f>YEAR(Table13[[#This Row],[Date]])</f>
        <v>2026</v>
      </c>
      <c r="D311" s="131">
        <f>Table13[[#This Row],[Date]]-DAY(Table13[[#This Row],[Date]])+1</f>
        <v>46054</v>
      </c>
      <c r="E311" s="7">
        <f t="shared" si="20"/>
        <v>28</v>
      </c>
      <c r="F311" s="132" t="str">
        <f>IFERROR(_xlfn.XLOOKUP($A311,'Raw Data'!$G:$G,'Raw Data'!$AM:$AM),"")</f>
        <v/>
      </c>
      <c r="G311" s="133" t="str">
        <f>IFERROR(_xlfn.XLOOKUP($A311,'Raw Data'!$G:$G,'Raw Data'!$AB:$AB),"")</f>
        <v/>
      </c>
      <c r="H311" s="133"/>
      <c r="I311" s="133" t="str">
        <f>IFERROR(_xlfn.XLOOKUP($A311,'Raw Data'!$G:$G,'Raw Data'!$AC:$AC),"")</f>
        <v/>
      </c>
      <c r="J311" s="133"/>
      <c r="K311" s="133" t="str">
        <f>IFERROR(_xlfn.XLOOKUP($A311,'Raw Data'!$G:$G,'Raw Data'!AD:AD),"")</f>
        <v/>
      </c>
      <c r="L311" s="133" t="str">
        <f>IFERROR(_xlfn.XLOOKUP($A311,'Raw Data'!$G:$G,'Raw Data'!AE:AE),"")</f>
        <v/>
      </c>
      <c r="M311" s="133" t="str">
        <f>IFERROR(_xlfn.XLOOKUP($A311,'Raw Data'!$G:$G,'Raw Data'!AF:AF),"")</f>
        <v/>
      </c>
      <c r="N311" s="133" t="str">
        <f>IFERROR(_xlfn.XLOOKUP($A311,'Raw Data'!$G:$G,'Raw Data'!AG:AG),"")</f>
        <v/>
      </c>
      <c r="O311" s="134" t="str">
        <f>IFERROR(1-SUMIF('Plant BD'!$H:$H,$A311,'Plant BD'!$AE:$AE)/($AA311+SUMIF('Plant BD'!$H:$H,$A311,'Plant BD'!$AE:$AE)),"")</f>
        <v/>
      </c>
      <c r="P311" s="134"/>
      <c r="Q311" s="135"/>
      <c r="R311" s="134" t="str">
        <f>IFERROR(1-SUMIF('Grid BD'!$H:$H,$A311,'Grid BD'!$AD:$AD)/($AA311+SUMIF('Grid BD'!$H:$H,$A311,'Grid BD'!$AD:$AD)),"")</f>
        <v/>
      </c>
      <c r="T311" s="135"/>
      <c r="U311" s="136" t="str">
        <f t="shared" si="21"/>
        <v/>
      </c>
      <c r="V311" s="136"/>
      <c r="W311" s="137" t="str">
        <f t="shared" si="22"/>
        <v/>
      </c>
      <c r="X311" s="130" t="str">
        <f>IFERROR(_xlfn.XLOOKUP($A311,'Raw Data'!$G:$G,'Raw Data'!AI:AI),"")</f>
        <v/>
      </c>
      <c r="Y311" s="130" t="str">
        <f>IFERROR(_xlfn.XLOOKUP($A311,'Raw Data'!$G:$G,'Raw Data'!AJ:AJ),"")</f>
        <v/>
      </c>
      <c r="Z311" s="130" t="str">
        <f>IFERROR(_xlfn.XLOOKUP($A311,'Raw Data'!$G:$G,'Raw Data'!AK:AK),"")</f>
        <v/>
      </c>
      <c r="AA311" s="130" t="str">
        <f>IFERROR(_xlfn.XLOOKUP($A311,'Raw Data'!$G:$G,'Raw Data'!AL:AL),"")</f>
        <v/>
      </c>
      <c r="AB311" s="130" t="str">
        <f>IFERROR(_xlfn.XLOOKUP($A311,'Raw Data'!$G:$G,'Raw Data'!H:H),"")</f>
        <v/>
      </c>
      <c r="AC311" s="76">
        <f>IFERROR(_xlfn.XLOOKUP($D311,'Modelling New'!$D:$D,'Modelling New'!P:P),"")</f>
        <v>6.5714285714285712</v>
      </c>
      <c r="AD311" s="130">
        <f>IFERROR(_xlfn.XLOOKUP($D311,'Modelling New'!$D:$D,'Modelling New'!$T:$T)*1000,"")</f>
        <v>33989.340219935533</v>
      </c>
      <c r="AE311" s="138">
        <f>IFERROR(_xlfn.XLOOKUP($D311,'Modelling New'!$D:$D,'Modelling New'!O:O),"")</f>
        <v>0.64485168784471436</v>
      </c>
      <c r="AF311" s="137">
        <f>IFERROR(_xlfn.XLOOKUP($D311,'Modelling New'!$D:$D,'Modelling New'!W:W),"")</f>
        <v>0.17656653357652891</v>
      </c>
      <c r="AG311" s="137">
        <f>IFERROR(_xlfn.XLOOKUP($D311,'Modelling New'!$D:$D,'Modelling New'!AE:AE),"")</f>
        <v>0.98040000000000005</v>
      </c>
      <c r="AH311" s="156">
        <f>IFERROR(_xlfn.XLOOKUP($D311,'Modelling New'!$D:$D,'Modelling New'!AF:AF),"")</f>
        <v>0.98</v>
      </c>
      <c r="AN311" s="134"/>
      <c r="AO311" s="137"/>
      <c r="AP311" s="137"/>
      <c r="AQ311" s="137"/>
      <c r="AR311" s="130">
        <f>'Basic Data'!$B$98/1000</f>
        <v>8.0208999999999993</v>
      </c>
    </row>
    <row r="312" spans="1:44" x14ac:dyDescent="0.3">
      <c r="A312" s="129">
        <f t="shared" si="23"/>
        <v>46055</v>
      </c>
      <c r="B312" s="130">
        <f>YEAR(Table13[[#This Row],[Date]])+IF(MONTH(Table13[[#This Row],[Date]])&gt;=4,1,0)</f>
        <v>2026</v>
      </c>
      <c r="C312" s="7">
        <f>YEAR(Table13[[#This Row],[Date]])</f>
        <v>2026</v>
      </c>
      <c r="D312" s="131">
        <f>Table13[[#This Row],[Date]]-DAY(Table13[[#This Row],[Date]])+1</f>
        <v>46054</v>
      </c>
      <c r="E312" s="7">
        <f t="shared" si="20"/>
        <v>28</v>
      </c>
      <c r="F312" s="132" t="str">
        <f>IFERROR(_xlfn.XLOOKUP($A312,'Raw Data'!$G:$G,'Raw Data'!$AM:$AM),"")</f>
        <v/>
      </c>
      <c r="G312" s="133" t="str">
        <f>IFERROR(_xlfn.XLOOKUP($A312,'Raw Data'!$G:$G,'Raw Data'!$AB:$AB),"")</f>
        <v/>
      </c>
      <c r="H312" s="133"/>
      <c r="I312" s="133" t="str">
        <f>IFERROR(_xlfn.XLOOKUP($A312,'Raw Data'!$G:$G,'Raw Data'!$AC:$AC),"")</f>
        <v/>
      </c>
      <c r="J312" s="133"/>
      <c r="K312" s="133" t="str">
        <f>IFERROR(_xlfn.XLOOKUP($A312,'Raw Data'!$G:$G,'Raw Data'!AD:AD),"")</f>
        <v/>
      </c>
      <c r="L312" s="133" t="str">
        <f>IFERROR(_xlfn.XLOOKUP($A312,'Raw Data'!$G:$G,'Raw Data'!AE:AE),"")</f>
        <v/>
      </c>
      <c r="M312" s="133" t="str">
        <f>IFERROR(_xlfn.XLOOKUP($A312,'Raw Data'!$G:$G,'Raw Data'!AF:AF),"")</f>
        <v/>
      </c>
      <c r="N312" s="133" t="str">
        <f>IFERROR(_xlfn.XLOOKUP($A312,'Raw Data'!$G:$G,'Raw Data'!AG:AG),"")</f>
        <v/>
      </c>
      <c r="O312" s="134" t="str">
        <f>IFERROR(1-SUMIF('Plant BD'!$H:$H,$A312,'Plant BD'!$AE:$AE)/($AA312+SUMIF('Plant BD'!$H:$H,$A312,'Plant BD'!$AE:$AE)),"")</f>
        <v/>
      </c>
      <c r="P312" s="134"/>
      <c r="Q312" s="135"/>
      <c r="R312" s="134" t="str">
        <f>IFERROR(1-SUMIF('Grid BD'!$H:$H,$A312,'Grid BD'!$AD:$AD)/($AA312+SUMIF('Grid BD'!$H:$H,$A312,'Grid BD'!$AD:$AD)),"")</f>
        <v/>
      </c>
      <c r="T312" s="135"/>
      <c r="U312" s="136" t="str">
        <f t="shared" si="21"/>
        <v/>
      </c>
      <c r="V312" s="136"/>
      <c r="W312" s="137" t="str">
        <f t="shared" si="22"/>
        <v/>
      </c>
      <c r="X312" s="130" t="str">
        <f>IFERROR(_xlfn.XLOOKUP($A312,'Raw Data'!$G:$G,'Raw Data'!AI:AI),"")</f>
        <v/>
      </c>
      <c r="Y312" s="130" t="str">
        <f>IFERROR(_xlfn.XLOOKUP($A312,'Raw Data'!$G:$G,'Raw Data'!AJ:AJ),"")</f>
        <v/>
      </c>
      <c r="Z312" s="130" t="str">
        <f>IFERROR(_xlfn.XLOOKUP($A312,'Raw Data'!$G:$G,'Raw Data'!AK:AK),"")</f>
        <v/>
      </c>
      <c r="AA312" s="130" t="str">
        <f>IFERROR(_xlfn.XLOOKUP($A312,'Raw Data'!$G:$G,'Raw Data'!AL:AL),"")</f>
        <v/>
      </c>
      <c r="AB312" s="130" t="str">
        <f>IFERROR(_xlfn.XLOOKUP($A312,'Raw Data'!$G:$G,'Raw Data'!H:H),"")</f>
        <v/>
      </c>
      <c r="AC312" s="76">
        <f>IFERROR(_xlfn.XLOOKUP($D312,'Modelling New'!$D:$D,'Modelling New'!P:P),"")</f>
        <v>6.5714285714285712</v>
      </c>
      <c r="AD312" s="130">
        <f>IFERROR(_xlfn.XLOOKUP($D312,'Modelling New'!$D:$D,'Modelling New'!$T:$T)*1000,"")</f>
        <v>33989.340219935533</v>
      </c>
      <c r="AE312" s="138">
        <f>IFERROR(_xlfn.XLOOKUP($D312,'Modelling New'!$D:$D,'Modelling New'!O:O),"")</f>
        <v>0.64485168784471436</v>
      </c>
      <c r="AF312" s="137">
        <f>IFERROR(_xlfn.XLOOKUP($D312,'Modelling New'!$D:$D,'Modelling New'!W:W),"")</f>
        <v>0.17656653357652891</v>
      </c>
      <c r="AG312" s="137">
        <f>IFERROR(_xlfn.XLOOKUP($D312,'Modelling New'!$D:$D,'Modelling New'!AE:AE),"")</f>
        <v>0.98040000000000005</v>
      </c>
      <c r="AH312" s="156">
        <f>IFERROR(_xlfn.XLOOKUP($D312,'Modelling New'!$D:$D,'Modelling New'!AF:AF),"")</f>
        <v>0.98</v>
      </c>
      <c r="AN312" s="134"/>
      <c r="AO312" s="137"/>
      <c r="AP312" s="137"/>
      <c r="AQ312" s="137"/>
      <c r="AR312" s="130">
        <f>'Basic Data'!$B$98/1000</f>
        <v>8.0208999999999993</v>
      </c>
    </row>
    <row r="313" spans="1:44" x14ac:dyDescent="0.3">
      <c r="A313" s="129">
        <f t="shared" si="23"/>
        <v>46056</v>
      </c>
      <c r="B313" s="130">
        <f>YEAR(Table13[[#This Row],[Date]])+IF(MONTH(Table13[[#This Row],[Date]])&gt;=4,1,0)</f>
        <v>2026</v>
      </c>
      <c r="C313" s="7">
        <f>YEAR(Table13[[#This Row],[Date]])</f>
        <v>2026</v>
      </c>
      <c r="D313" s="131">
        <f>Table13[[#This Row],[Date]]-DAY(Table13[[#This Row],[Date]])+1</f>
        <v>46054</v>
      </c>
      <c r="E313" s="7">
        <f t="shared" si="20"/>
        <v>28</v>
      </c>
      <c r="F313" s="132" t="str">
        <f>IFERROR(_xlfn.XLOOKUP($A313,'Raw Data'!$G:$G,'Raw Data'!$AM:$AM),"")</f>
        <v/>
      </c>
      <c r="G313" s="133" t="str">
        <f>IFERROR(_xlfn.XLOOKUP($A313,'Raw Data'!$G:$G,'Raw Data'!$AB:$AB),"")</f>
        <v/>
      </c>
      <c r="H313" s="133"/>
      <c r="I313" s="133" t="str">
        <f>IFERROR(_xlfn.XLOOKUP($A313,'Raw Data'!$G:$G,'Raw Data'!$AC:$AC),"")</f>
        <v/>
      </c>
      <c r="J313" s="133"/>
      <c r="K313" s="133" t="str">
        <f>IFERROR(_xlfn.XLOOKUP($A313,'Raw Data'!$G:$G,'Raw Data'!AD:AD),"")</f>
        <v/>
      </c>
      <c r="L313" s="133" t="str">
        <f>IFERROR(_xlfn.XLOOKUP($A313,'Raw Data'!$G:$G,'Raw Data'!AE:AE),"")</f>
        <v/>
      </c>
      <c r="M313" s="133" t="str">
        <f>IFERROR(_xlfn.XLOOKUP($A313,'Raw Data'!$G:$G,'Raw Data'!AF:AF),"")</f>
        <v/>
      </c>
      <c r="N313" s="133" t="str">
        <f>IFERROR(_xlfn.XLOOKUP($A313,'Raw Data'!$G:$G,'Raw Data'!AG:AG),"")</f>
        <v/>
      </c>
      <c r="O313" s="134" t="str">
        <f>IFERROR(1-SUMIF('Plant BD'!$H:$H,$A313,'Plant BD'!$AE:$AE)/($AA313+SUMIF('Plant BD'!$H:$H,$A313,'Plant BD'!$AE:$AE)),"")</f>
        <v/>
      </c>
      <c r="P313" s="134"/>
      <c r="Q313" s="135"/>
      <c r="R313" s="134" t="str">
        <f>IFERROR(1-SUMIF('Grid BD'!$H:$H,$A313,'Grid BD'!$AD:$AD)/($AA313+SUMIF('Grid BD'!$H:$H,$A313,'Grid BD'!$AD:$AD)),"")</f>
        <v/>
      </c>
      <c r="T313" s="135"/>
      <c r="U313" s="136" t="str">
        <f t="shared" si="21"/>
        <v/>
      </c>
      <c r="V313" s="136"/>
      <c r="W313" s="137" t="str">
        <f t="shared" si="22"/>
        <v/>
      </c>
      <c r="X313" s="130" t="str">
        <f>IFERROR(_xlfn.XLOOKUP($A313,'Raw Data'!$G:$G,'Raw Data'!AI:AI),"")</f>
        <v/>
      </c>
      <c r="Y313" s="130" t="str">
        <f>IFERROR(_xlfn.XLOOKUP($A313,'Raw Data'!$G:$G,'Raw Data'!AJ:AJ),"")</f>
        <v/>
      </c>
      <c r="Z313" s="130" t="str">
        <f>IFERROR(_xlfn.XLOOKUP($A313,'Raw Data'!$G:$G,'Raw Data'!AK:AK),"")</f>
        <v/>
      </c>
      <c r="AA313" s="130" t="str">
        <f>IFERROR(_xlfn.XLOOKUP($A313,'Raw Data'!$G:$G,'Raw Data'!AL:AL),"")</f>
        <v/>
      </c>
      <c r="AB313" s="130" t="str">
        <f>IFERROR(_xlfn.XLOOKUP($A313,'Raw Data'!$G:$G,'Raw Data'!H:H),"")</f>
        <v/>
      </c>
      <c r="AC313" s="76">
        <f>IFERROR(_xlfn.XLOOKUP($D313,'Modelling New'!$D:$D,'Modelling New'!P:P),"")</f>
        <v>6.5714285714285712</v>
      </c>
      <c r="AD313" s="130">
        <f>IFERROR(_xlfn.XLOOKUP($D313,'Modelling New'!$D:$D,'Modelling New'!$T:$T)*1000,"")</f>
        <v>33989.340219935533</v>
      </c>
      <c r="AE313" s="138">
        <f>IFERROR(_xlfn.XLOOKUP($D313,'Modelling New'!$D:$D,'Modelling New'!O:O),"")</f>
        <v>0.64485168784471436</v>
      </c>
      <c r="AF313" s="137">
        <f>IFERROR(_xlfn.XLOOKUP($D313,'Modelling New'!$D:$D,'Modelling New'!W:W),"")</f>
        <v>0.17656653357652891</v>
      </c>
      <c r="AG313" s="137">
        <f>IFERROR(_xlfn.XLOOKUP($D313,'Modelling New'!$D:$D,'Modelling New'!AE:AE),"")</f>
        <v>0.98040000000000005</v>
      </c>
      <c r="AH313" s="156">
        <f>IFERROR(_xlfn.XLOOKUP($D313,'Modelling New'!$D:$D,'Modelling New'!AF:AF),"")</f>
        <v>0.98</v>
      </c>
      <c r="AN313" s="134"/>
      <c r="AO313" s="137"/>
      <c r="AP313" s="137"/>
      <c r="AQ313" s="137"/>
      <c r="AR313" s="130">
        <f>'Basic Data'!$B$98/1000</f>
        <v>8.0208999999999993</v>
      </c>
    </row>
    <row r="314" spans="1:44" x14ac:dyDescent="0.3">
      <c r="A314" s="129">
        <f t="shared" si="23"/>
        <v>46057</v>
      </c>
      <c r="B314" s="130">
        <f>YEAR(Table13[[#This Row],[Date]])+IF(MONTH(Table13[[#This Row],[Date]])&gt;=4,1,0)</f>
        <v>2026</v>
      </c>
      <c r="C314" s="7">
        <f>YEAR(Table13[[#This Row],[Date]])</f>
        <v>2026</v>
      </c>
      <c r="D314" s="131">
        <f>Table13[[#This Row],[Date]]-DAY(Table13[[#This Row],[Date]])+1</f>
        <v>46054</v>
      </c>
      <c r="E314" s="7">
        <f t="shared" si="20"/>
        <v>28</v>
      </c>
      <c r="F314" s="132" t="str">
        <f>IFERROR(_xlfn.XLOOKUP($A314,'Raw Data'!$G:$G,'Raw Data'!$AM:$AM),"")</f>
        <v/>
      </c>
      <c r="G314" s="133" t="str">
        <f>IFERROR(_xlfn.XLOOKUP($A314,'Raw Data'!$G:$G,'Raw Data'!$AB:$AB),"")</f>
        <v/>
      </c>
      <c r="H314" s="133"/>
      <c r="I314" s="133" t="str">
        <f>IFERROR(_xlfn.XLOOKUP($A314,'Raw Data'!$G:$G,'Raw Data'!$AC:$AC),"")</f>
        <v/>
      </c>
      <c r="J314" s="133"/>
      <c r="K314" s="133" t="str">
        <f>IFERROR(_xlfn.XLOOKUP($A314,'Raw Data'!$G:$G,'Raw Data'!AD:AD),"")</f>
        <v/>
      </c>
      <c r="L314" s="133" t="str">
        <f>IFERROR(_xlfn.XLOOKUP($A314,'Raw Data'!$G:$G,'Raw Data'!AE:AE),"")</f>
        <v/>
      </c>
      <c r="M314" s="133" t="str">
        <f>IFERROR(_xlfn.XLOOKUP($A314,'Raw Data'!$G:$G,'Raw Data'!AF:AF),"")</f>
        <v/>
      </c>
      <c r="N314" s="133" t="str">
        <f>IFERROR(_xlfn.XLOOKUP($A314,'Raw Data'!$G:$G,'Raw Data'!AG:AG),"")</f>
        <v/>
      </c>
      <c r="O314" s="134" t="str">
        <f>IFERROR(1-SUMIF('Plant BD'!$H:$H,$A314,'Plant BD'!$AE:$AE)/($AA314+SUMIF('Plant BD'!$H:$H,$A314,'Plant BD'!$AE:$AE)),"")</f>
        <v/>
      </c>
      <c r="P314" s="134"/>
      <c r="Q314" s="135"/>
      <c r="R314" s="134" t="str">
        <f>IFERROR(1-SUMIF('Grid BD'!$H:$H,$A314,'Grid BD'!$AD:$AD)/($AA314+SUMIF('Grid BD'!$H:$H,$A314,'Grid BD'!$AD:$AD)),"")</f>
        <v/>
      </c>
      <c r="T314" s="135"/>
      <c r="U314" s="136" t="str">
        <f t="shared" si="21"/>
        <v/>
      </c>
      <c r="V314" s="136"/>
      <c r="W314" s="137" t="str">
        <f t="shared" si="22"/>
        <v/>
      </c>
      <c r="X314" s="130" t="str">
        <f>IFERROR(_xlfn.XLOOKUP($A314,'Raw Data'!$G:$G,'Raw Data'!AI:AI),"")</f>
        <v/>
      </c>
      <c r="Y314" s="130" t="str">
        <f>IFERROR(_xlfn.XLOOKUP($A314,'Raw Data'!$G:$G,'Raw Data'!AJ:AJ),"")</f>
        <v/>
      </c>
      <c r="Z314" s="130" t="str">
        <f>IFERROR(_xlfn.XLOOKUP($A314,'Raw Data'!$G:$G,'Raw Data'!AK:AK),"")</f>
        <v/>
      </c>
      <c r="AA314" s="130" t="str">
        <f>IFERROR(_xlfn.XLOOKUP($A314,'Raw Data'!$G:$G,'Raw Data'!AL:AL),"")</f>
        <v/>
      </c>
      <c r="AB314" s="130" t="str">
        <f>IFERROR(_xlfn.XLOOKUP($A314,'Raw Data'!$G:$G,'Raw Data'!H:H),"")</f>
        <v/>
      </c>
      <c r="AC314" s="76">
        <f>IFERROR(_xlfn.XLOOKUP($D314,'Modelling New'!$D:$D,'Modelling New'!P:P),"")</f>
        <v>6.5714285714285712</v>
      </c>
      <c r="AD314" s="130">
        <f>IFERROR(_xlfn.XLOOKUP($D314,'Modelling New'!$D:$D,'Modelling New'!$T:$T)*1000,"")</f>
        <v>33989.340219935533</v>
      </c>
      <c r="AE314" s="138">
        <f>IFERROR(_xlfn.XLOOKUP($D314,'Modelling New'!$D:$D,'Modelling New'!O:O),"")</f>
        <v>0.64485168784471436</v>
      </c>
      <c r="AF314" s="137">
        <f>IFERROR(_xlfn.XLOOKUP($D314,'Modelling New'!$D:$D,'Modelling New'!W:W),"")</f>
        <v>0.17656653357652891</v>
      </c>
      <c r="AG314" s="137">
        <f>IFERROR(_xlfn.XLOOKUP($D314,'Modelling New'!$D:$D,'Modelling New'!AE:AE),"")</f>
        <v>0.98040000000000005</v>
      </c>
      <c r="AH314" s="156">
        <f>IFERROR(_xlfn.XLOOKUP($D314,'Modelling New'!$D:$D,'Modelling New'!AF:AF),"")</f>
        <v>0.98</v>
      </c>
      <c r="AN314" s="134"/>
      <c r="AO314" s="137"/>
      <c r="AP314" s="137"/>
      <c r="AQ314" s="137"/>
      <c r="AR314" s="130">
        <f>'Basic Data'!$B$98/1000</f>
        <v>8.0208999999999993</v>
      </c>
    </row>
    <row r="315" spans="1:44" x14ac:dyDescent="0.3">
      <c r="A315" s="129">
        <f t="shared" si="23"/>
        <v>46058</v>
      </c>
      <c r="B315" s="130">
        <f>YEAR(Table13[[#This Row],[Date]])+IF(MONTH(Table13[[#This Row],[Date]])&gt;=4,1,0)</f>
        <v>2026</v>
      </c>
      <c r="C315" s="7">
        <f>YEAR(Table13[[#This Row],[Date]])</f>
        <v>2026</v>
      </c>
      <c r="D315" s="131">
        <f>Table13[[#This Row],[Date]]-DAY(Table13[[#This Row],[Date]])+1</f>
        <v>46054</v>
      </c>
      <c r="E315" s="7">
        <f t="shared" si="20"/>
        <v>28</v>
      </c>
      <c r="F315" s="132" t="str">
        <f>IFERROR(_xlfn.XLOOKUP($A315,'Raw Data'!$G:$G,'Raw Data'!$AM:$AM),"")</f>
        <v/>
      </c>
      <c r="G315" s="133" t="str">
        <f>IFERROR(_xlfn.XLOOKUP($A315,'Raw Data'!$G:$G,'Raw Data'!$AB:$AB),"")</f>
        <v/>
      </c>
      <c r="H315" s="133"/>
      <c r="I315" s="133" t="str">
        <f>IFERROR(_xlfn.XLOOKUP($A315,'Raw Data'!$G:$G,'Raw Data'!$AC:$AC),"")</f>
        <v/>
      </c>
      <c r="J315" s="133"/>
      <c r="K315" s="133" t="str">
        <f>IFERROR(_xlfn.XLOOKUP($A315,'Raw Data'!$G:$G,'Raw Data'!AD:AD),"")</f>
        <v/>
      </c>
      <c r="L315" s="133" t="str">
        <f>IFERROR(_xlfn.XLOOKUP($A315,'Raw Data'!$G:$G,'Raw Data'!AE:AE),"")</f>
        <v/>
      </c>
      <c r="M315" s="133" t="str">
        <f>IFERROR(_xlfn.XLOOKUP($A315,'Raw Data'!$G:$G,'Raw Data'!AF:AF),"")</f>
        <v/>
      </c>
      <c r="N315" s="133" t="str">
        <f>IFERROR(_xlfn.XLOOKUP($A315,'Raw Data'!$G:$G,'Raw Data'!AG:AG),"")</f>
        <v/>
      </c>
      <c r="O315" s="134" t="str">
        <f>IFERROR(1-SUMIF('Plant BD'!$H:$H,$A315,'Plant BD'!$AE:$AE)/($AA315+SUMIF('Plant BD'!$H:$H,$A315,'Plant BD'!$AE:$AE)),"")</f>
        <v/>
      </c>
      <c r="P315" s="134"/>
      <c r="Q315" s="135"/>
      <c r="R315" s="134" t="str">
        <f>IFERROR(1-SUMIF('Grid BD'!$H:$H,$A315,'Grid BD'!$AD:$AD)/($AA315+SUMIF('Grid BD'!$H:$H,$A315,'Grid BD'!$AD:$AD)),"")</f>
        <v/>
      </c>
      <c r="T315" s="135"/>
      <c r="U315" s="136" t="str">
        <f t="shared" si="21"/>
        <v/>
      </c>
      <c r="V315" s="136"/>
      <c r="W315" s="137" t="str">
        <f t="shared" si="22"/>
        <v/>
      </c>
      <c r="X315" s="130" t="str">
        <f>IFERROR(_xlfn.XLOOKUP($A315,'Raw Data'!$G:$G,'Raw Data'!AI:AI),"")</f>
        <v/>
      </c>
      <c r="Y315" s="130" t="str">
        <f>IFERROR(_xlfn.XLOOKUP($A315,'Raw Data'!$G:$G,'Raw Data'!AJ:AJ),"")</f>
        <v/>
      </c>
      <c r="Z315" s="130" t="str">
        <f>IFERROR(_xlfn.XLOOKUP($A315,'Raw Data'!$G:$G,'Raw Data'!AK:AK),"")</f>
        <v/>
      </c>
      <c r="AA315" s="130" t="str">
        <f>IFERROR(_xlfn.XLOOKUP($A315,'Raw Data'!$G:$G,'Raw Data'!AL:AL),"")</f>
        <v/>
      </c>
      <c r="AB315" s="130" t="str">
        <f>IFERROR(_xlfn.XLOOKUP($A315,'Raw Data'!$G:$G,'Raw Data'!H:H),"")</f>
        <v/>
      </c>
      <c r="AC315" s="76">
        <f>IFERROR(_xlfn.XLOOKUP($D315,'Modelling New'!$D:$D,'Modelling New'!P:P),"")</f>
        <v>6.5714285714285712</v>
      </c>
      <c r="AD315" s="130">
        <f>IFERROR(_xlfn.XLOOKUP($D315,'Modelling New'!$D:$D,'Modelling New'!$T:$T)*1000,"")</f>
        <v>33989.340219935533</v>
      </c>
      <c r="AE315" s="138">
        <f>IFERROR(_xlfn.XLOOKUP($D315,'Modelling New'!$D:$D,'Modelling New'!O:O),"")</f>
        <v>0.64485168784471436</v>
      </c>
      <c r="AF315" s="137">
        <f>IFERROR(_xlfn.XLOOKUP($D315,'Modelling New'!$D:$D,'Modelling New'!W:W),"")</f>
        <v>0.17656653357652891</v>
      </c>
      <c r="AG315" s="137">
        <f>IFERROR(_xlfn.XLOOKUP($D315,'Modelling New'!$D:$D,'Modelling New'!AE:AE),"")</f>
        <v>0.98040000000000005</v>
      </c>
      <c r="AH315" s="156">
        <f>IFERROR(_xlfn.XLOOKUP($D315,'Modelling New'!$D:$D,'Modelling New'!AF:AF),"")</f>
        <v>0.98</v>
      </c>
      <c r="AN315" s="134"/>
      <c r="AO315" s="137"/>
      <c r="AP315" s="137"/>
      <c r="AQ315" s="137"/>
      <c r="AR315" s="130">
        <f>'Basic Data'!$B$98/1000</f>
        <v>8.0208999999999993</v>
      </c>
    </row>
    <row r="316" spans="1:44" x14ac:dyDescent="0.3">
      <c r="A316" s="129">
        <f t="shared" si="23"/>
        <v>46059</v>
      </c>
      <c r="B316" s="130">
        <f>YEAR(Table13[[#This Row],[Date]])+IF(MONTH(Table13[[#This Row],[Date]])&gt;=4,1,0)</f>
        <v>2026</v>
      </c>
      <c r="C316" s="7">
        <f>YEAR(Table13[[#This Row],[Date]])</f>
        <v>2026</v>
      </c>
      <c r="D316" s="131">
        <f>Table13[[#This Row],[Date]]-DAY(Table13[[#This Row],[Date]])+1</f>
        <v>46054</v>
      </c>
      <c r="E316" s="7">
        <f t="shared" si="20"/>
        <v>28</v>
      </c>
      <c r="F316" s="132" t="str">
        <f>IFERROR(_xlfn.XLOOKUP($A316,'Raw Data'!$G:$G,'Raw Data'!$AM:$AM),"")</f>
        <v/>
      </c>
      <c r="G316" s="133" t="str">
        <f>IFERROR(_xlfn.XLOOKUP($A316,'Raw Data'!$G:$G,'Raw Data'!$AB:$AB),"")</f>
        <v/>
      </c>
      <c r="H316" s="133"/>
      <c r="I316" s="133" t="str">
        <f>IFERROR(_xlfn.XLOOKUP($A316,'Raw Data'!$G:$G,'Raw Data'!$AC:$AC),"")</f>
        <v/>
      </c>
      <c r="J316" s="133"/>
      <c r="K316" s="133" t="str">
        <f>IFERROR(_xlfn.XLOOKUP($A316,'Raw Data'!$G:$G,'Raw Data'!AD:AD),"")</f>
        <v/>
      </c>
      <c r="L316" s="133" t="str">
        <f>IFERROR(_xlfn.XLOOKUP($A316,'Raw Data'!$G:$G,'Raw Data'!AE:AE),"")</f>
        <v/>
      </c>
      <c r="M316" s="133" t="str">
        <f>IFERROR(_xlfn.XLOOKUP($A316,'Raw Data'!$G:$G,'Raw Data'!AF:AF),"")</f>
        <v/>
      </c>
      <c r="N316" s="133" t="str">
        <f>IFERROR(_xlfn.XLOOKUP($A316,'Raw Data'!$G:$G,'Raw Data'!AG:AG),"")</f>
        <v/>
      </c>
      <c r="O316" s="134" t="str">
        <f>IFERROR(1-SUMIF('Plant BD'!$H:$H,$A316,'Plant BD'!$AE:$AE)/($AA316+SUMIF('Plant BD'!$H:$H,$A316,'Plant BD'!$AE:$AE)),"")</f>
        <v/>
      </c>
      <c r="P316" s="134"/>
      <c r="Q316" s="135"/>
      <c r="R316" s="134" t="str">
        <f>IFERROR(1-SUMIF('Grid BD'!$H:$H,$A316,'Grid BD'!$AD:$AD)/($AA316+SUMIF('Grid BD'!$H:$H,$A316,'Grid BD'!$AD:$AD)),"")</f>
        <v/>
      </c>
      <c r="T316" s="135"/>
      <c r="U316" s="136" t="str">
        <f t="shared" si="21"/>
        <v/>
      </c>
      <c r="V316" s="136"/>
      <c r="W316" s="137" t="str">
        <f t="shared" si="22"/>
        <v/>
      </c>
      <c r="X316" s="130" t="str">
        <f>IFERROR(_xlfn.XLOOKUP($A316,'Raw Data'!$G:$G,'Raw Data'!AI:AI),"")</f>
        <v/>
      </c>
      <c r="Y316" s="130" t="str">
        <f>IFERROR(_xlfn.XLOOKUP($A316,'Raw Data'!$G:$G,'Raw Data'!AJ:AJ),"")</f>
        <v/>
      </c>
      <c r="Z316" s="130" t="str">
        <f>IFERROR(_xlfn.XLOOKUP($A316,'Raw Data'!$G:$G,'Raw Data'!AK:AK),"")</f>
        <v/>
      </c>
      <c r="AA316" s="130" t="str">
        <f>IFERROR(_xlfn.XLOOKUP($A316,'Raw Data'!$G:$G,'Raw Data'!AL:AL),"")</f>
        <v/>
      </c>
      <c r="AB316" s="130" t="str">
        <f>IFERROR(_xlfn.XLOOKUP($A316,'Raw Data'!$G:$G,'Raw Data'!H:H),"")</f>
        <v/>
      </c>
      <c r="AC316" s="76">
        <f>IFERROR(_xlfn.XLOOKUP($D316,'Modelling New'!$D:$D,'Modelling New'!P:P),"")</f>
        <v>6.5714285714285712</v>
      </c>
      <c r="AD316" s="130">
        <f>IFERROR(_xlfn.XLOOKUP($D316,'Modelling New'!$D:$D,'Modelling New'!$T:$T)*1000,"")</f>
        <v>33989.340219935533</v>
      </c>
      <c r="AE316" s="138">
        <f>IFERROR(_xlfn.XLOOKUP($D316,'Modelling New'!$D:$D,'Modelling New'!O:O),"")</f>
        <v>0.64485168784471436</v>
      </c>
      <c r="AF316" s="137">
        <f>IFERROR(_xlfn.XLOOKUP($D316,'Modelling New'!$D:$D,'Modelling New'!W:W),"")</f>
        <v>0.17656653357652891</v>
      </c>
      <c r="AG316" s="137">
        <f>IFERROR(_xlfn.XLOOKUP($D316,'Modelling New'!$D:$D,'Modelling New'!AE:AE),"")</f>
        <v>0.98040000000000005</v>
      </c>
      <c r="AH316" s="156">
        <f>IFERROR(_xlfn.XLOOKUP($D316,'Modelling New'!$D:$D,'Modelling New'!AF:AF),"")</f>
        <v>0.98</v>
      </c>
      <c r="AN316" s="134"/>
      <c r="AO316" s="137"/>
      <c r="AP316" s="137"/>
      <c r="AQ316" s="137"/>
      <c r="AR316" s="130">
        <f>'Basic Data'!$B$98/1000</f>
        <v>8.0208999999999993</v>
      </c>
    </row>
    <row r="317" spans="1:44" x14ac:dyDescent="0.3">
      <c r="A317" s="129">
        <f t="shared" si="23"/>
        <v>46060</v>
      </c>
      <c r="B317" s="130">
        <f>YEAR(Table13[[#This Row],[Date]])+IF(MONTH(Table13[[#This Row],[Date]])&gt;=4,1,0)</f>
        <v>2026</v>
      </c>
      <c r="C317" s="7">
        <f>YEAR(Table13[[#This Row],[Date]])</f>
        <v>2026</v>
      </c>
      <c r="D317" s="131">
        <f>Table13[[#This Row],[Date]]-DAY(Table13[[#This Row],[Date]])+1</f>
        <v>46054</v>
      </c>
      <c r="E317" s="7">
        <f t="shared" si="20"/>
        <v>28</v>
      </c>
      <c r="F317" s="132" t="str">
        <f>IFERROR(_xlfn.XLOOKUP($A317,'Raw Data'!$G:$G,'Raw Data'!$AM:$AM),"")</f>
        <v/>
      </c>
      <c r="G317" s="133" t="str">
        <f>IFERROR(_xlfn.XLOOKUP($A317,'Raw Data'!$G:$G,'Raw Data'!$AB:$AB),"")</f>
        <v/>
      </c>
      <c r="H317" s="133"/>
      <c r="I317" s="133" t="str">
        <f>IFERROR(_xlfn.XLOOKUP($A317,'Raw Data'!$G:$G,'Raw Data'!$AC:$AC),"")</f>
        <v/>
      </c>
      <c r="J317" s="133"/>
      <c r="K317" s="133" t="str">
        <f>IFERROR(_xlfn.XLOOKUP($A317,'Raw Data'!$G:$G,'Raw Data'!AD:AD),"")</f>
        <v/>
      </c>
      <c r="L317" s="133" t="str">
        <f>IFERROR(_xlfn.XLOOKUP($A317,'Raw Data'!$G:$G,'Raw Data'!AE:AE),"")</f>
        <v/>
      </c>
      <c r="M317" s="133" t="str">
        <f>IFERROR(_xlfn.XLOOKUP($A317,'Raw Data'!$G:$G,'Raw Data'!AF:AF),"")</f>
        <v/>
      </c>
      <c r="N317" s="133" t="str">
        <f>IFERROR(_xlfn.XLOOKUP($A317,'Raw Data'!$G:$G,'Raw Data'!AG:AG),"")</f>
        <v/>
      </c>
      <c r="O317" s="134" t="str">
        <f>IFERROR(1-SUMIF('Plant BD'!$H:$H,$A317,'Plant BD'!$AE:$AE)/($AA317+SUMIF('Plant BD'!$H:$H,$A317,'Plant BD'!$AE:$AE)),"")</f>
        <v/>
      </c>
      <c r="P317" s="134"/>
      <c r="Q317" s="135"/>
      <c r="R317" s="134" t="str">
        <f>IFERROR(1-SUMIF('Grid BD'!$H:$H,$A317,'Grid BD'!$AD:$AD)/($AA317+SUMIF('Grid BD'!$H:$H,$A317,'Grid BD'!$AD:$AD)),"")</f>
        <v/>
      </c>
      <c r="T317" s="135"/>
      <c r="U317" s="136" t="str">
        <f t="shared" si="21"/>
        <v/>
      </c>
      <c r="V317" s="136"/>
      <c r="W317" s="137" t="str">
        <f t="shared" si="22"/>
        <v/>
      </c>
      <c r="X317" s="130" t="str">
        <f>IFERROR(_xlfn.XLOOKUP($A317,'Raw Data'!$G:$G,'Raw Data'!AI:AI),"")</f>
        <v/>
      </c>
      <c r="Y317" s="130" t="str">
        <f>IFERROR(_xlfn.XLOOKUP($A317,'Raw Data'!$G:$G,'Raw Data'!AJ:AJ),"")</f>
        <v/>
      </c>
      <c r="Z317" s="130" t="str">
        <f>IFERROR(_xlfn.XLOOKUP($A317,'Raw Data'!$G:$G,'Raw Data'!AK:AK),"")</f>
        <v/>
      </c>
      <c r="AA317" s="130" t="str">
        <f>IFERROR(_xlfn.XLOOKUP($A317,'Raw Data'!$G:$G,'Raw Data'!AL:AL),"")</f>
        <v/>
      </c>
      <c r="AB317" s="130" t="str">
        <f>IFERROR(_xlfn.XLOOKUP($A317,'Raw Data'!$G:$G,'Raw Data'!H:H),"")</f>
        <v/>
      </c>
      <c r="AC317" s="76">
        <f>IFERROR(_xlfn.XLOOKUP($D317,'Modelling New'!$D:$D,'Modelling New'!P:P),"")</f>
        <v>6.5714285714285712</v>
      </c>
      <c r="AD317" s="130">
        <f>IFERROR(_xlfn.XLOOKUP($D317,'Modelling New'!$D:$D,'Modelling New'!$T:$T)*1000,"")</f>
        <v>33989.340219935533</v>
      </c>
      <c r="AE317" s="138">
        <f>IFERROR(_xlfn.XLOOKUP($D317,'Modelling New'!$D:$D,'Modelling New'!O:O),"")</f>
        <v>0.64485168784471436</v>
      </c>
      <c r="AF317" s="137">
        <f>IFERROR(_xlfn.XLOOKUP($D317,'Modelling New'!$D:$D,'Modelling New'!W:W),"")</f>
        <v>0.17656653357652891</v>
      </c>
      <c r="AG317" s="137">
        <f>IFERROR(_xlfn.XLOOKUP($D317,'Modelling New'!$D:$D,'Modelling New'!AE:AE),"")</f>
        <v>0.98040000000000005</v>
      </c>
      <c r="AH317" s="156">
        <f>IFERROR(_xlfn.XLOOKUP($D317,'Modelling New'!$D:$D,'Modelling New'!AF:AF),"")</f>
        <v>0.98</v>
      </c>
      <c r="AN317" s="134"/>
      <c r="AO317" s="137"/>
      <c r="AP317" s="137"/>
      <c r="AQ317" s="137"/>
      <c r="AR317" s="130">
        <f>'Basic Data'!$B$98/1000</f>
        <v>8.0208999999999993</v>
      </c>
    </row>
    <row r="318" spans="1:44" x14ac:dyDescent="0.3">
      <c r="A318" s="129">
        <f t="shared" si="23"/>
        <v>46061</v>
      </c>
      <c r="B318" s="130">
        <f>YEAR(Table13[[#This Row],[Date]])+IF(MONTH(Table13[[#This Row],[Date]])&gt;=4,1,0)</f>
        <v>2026</v>
      </c>
      <c r="C318" s="7">
        <f>YEAR(Table13[[#This Row],[Date]])</f>
        <v>2026</v>
      </c>
      <c r="D318" s="131">
        <f>Table13[[#This Row],[Date]]-DAY(Table13[[#This Row],[Date]])+1</f>
        <v>46054</v>
      </c>
      <c r="E318" s="7">
        <f t="shared" si="20"/>
        <v>28</v>
      </c>
      <c r="F318" s="132" t="str">
        <f>IFERROR(_xlfn.XLOOKUP($A318,'Raw Data'!$G:$G,'Raw Data'!$AM:$AM),"")</f>
        <v/>
      </c>
      <c r="G318" s="133" t="str">
        <f>IFERROR(_xlfn.XLOOKUP($A318,'Raw Data'!$G:$G,'Raw Data'!$AB:$AB),"")</f>
        <v/>
      </c>
      <c r="H318" s="133"/>
      <c r="I318" s="133" t="str">
        <f>IFERROR(_xlfn.XLOOKUP($A318,'Raw Data'!$G:$G,'Raw Data'!$AC:$AC),"")</f>
        <v/>
      </c>
      <c r="J318" s="133"/>
      <c r="K318" s="133" t="str">
        <f>IFERROR(_xlfn.XLOOKUP($A318,'Raw Data'!$G:$G,'Raw Data'!AD:AD),"")</f>
        <v/>
      </c>
      <c r="L318" s="133" t="str">
        <f>IFERROR(_xlfn.XLOOKUP($A318,'Raw Data'!$G:$G,'Raw Data'!AE:AE),"")</f>
        <v/>
      </c>
      <c r="M318" s="133" t="str">
        <f>IFERROR(_xlfn.XLOOKUP($A318,'Raw Data'!$G:$G,'Raw Data'!AF:AF),"")</f>
        <v/>
      </c>
      <c r="N318" s="133" t="str">
        <f>IFERROR(_xlfn.XLOOKUP($A318,'Raw Data'!$G:$G,'Raw Data'!AG:AG),"")</f>
        <v/>
      </c>
      <c r="O318" s="134" t="str">
        <f>IFERROR(1-SUMIF('Plant BD'!$H:$H,$A318,'Plant BD'!$AE:$AE)/($AA318+SUMIF('Plant BD'!$H:$H,$A318,'Plant BD'!$AE:$AE)),"")</f>
        <v/>
      </c>
      <c r="P318" s="134"/>
      <c r="Q318" s="135"/>
      <c r="R318" s="134" t="str">
        <f>IFERROR(1-SUMIF('Grid BD'!$H:$H,$A318,'Grid BD'!$AD:$AD)/($AA318+SUMIF('Grid BD'!$H:$H,$A318,'Grid BD'!$AD:$AD)),"")</f>
        <v/>
      </c>
      <c r="T318" s="135"/>
      <c r="U318" s="136" t="str">
        <f t="shared" si="21"/>
        <v/>
      </c>
      <c r="V318" s="136"/>
      <c r="W318" s="137" t="str">
        <f t="shared" si="22"/>
        <v/>
      </c>
      <c r="X318" s="130" t="str">
        <f>IFERROR(_xlfn.XLOOKUP($A318,'Raw Data'!$G:$G,'Raw Data'!AI:AI),"")</f>
        <v/>
      </c>
      <c r="Y318" s="130" t="str">
        <f>IFERROR(_xlfn.XLOOKUP($A318,'Raw Data'!$G:$G,'Raw Data'!AJ:AJ),"")</f>
        <v/>
      </c>
      <c r="Z318" s="130" t="str">
        <f>IFERROR(_xlfn.XLOOKUP($A318,'Raw Data'!$G:$G,'Raw Data'!AK:AK),"")</f>
        <v/>
      </c>
      <c r="AA318" s="130" t="str">
        <f>IFERROR(_xlfn.XLOOKUP($A318,'Raw Data'!$G:$G,'Raw Data'!AL:AL),"")</f>
        <v/>
      </c>
      <c r="AB318" s="130" t="str">
        <f>IFERROR(_xlfn.XLOOKUP($A318,'Raw Data'!$G:$G,'Raw Data'!H:H),"")</f>
        <v/>
      </c>
      <c r="AC318" s="76">
        <f>IFERROR(_xlfn.XLOOKUP($D318,'Modelling New'!$D:$D,'Modelling New'!P:P),"")</f>
        <v>6.5714285714285712</v>
      </c>
      <c r="AD318" s="130">
        <f>IFERROR(_xlfn.XLOOKUP($D318,'Modelling New'!$D:$D,'Modelling New'!$T:$T)*1000,"")</f>
        <v>33989.340219935533</v>
      </c>
      <c r="AE318" s="138">
        <f>IFERROR(_xlfn.XLOOKUP($D318,'Modelling New'!$D:$D,'Modelling New'!O:O),"")</f>
        <v>0.64485168784471436</v>
      </c>
      <c r="AF318" s="137">
        <f>IFERROR(_xlfn.XLOOKUP($D318,'Modelling New'!$D:$D,'Modelling New'!W:W),"")</f>
        <v>0.17656653357652891</v>
      </c>
      <c r="AG318" s="137">
        <f>IFERROR(_xlfn.XLOOKUP($D318,'Modelling New'!$D:$D,'Modelling New'!AE:AE),"")</f>
        <v>0.98040000000000005</v>
      </c>
      <c r="AH318" s="156">
        <f>IFERROR(_xlfn.XLOOKUP($D318,'Modelling New'!$D:$D,'Modelling New'!AF:AF),"")</f>
        <v>0.98</v>
      </c>
      <c r="AN318" s="134"/>
      <c r="AO318" s="137"/>
      <c r="AP318" s="137"/>
      <c r="AQ318" s="137"/>
      <c r="AR318" s="130">
        <f>'Basic Data'!$B$98/1000</f>
        <v>8.0208999999999993</v>
      </c>
    </row>
    <row r="319" spans="1:44" x14ac:dyDescent="0.3">
      <c r="A319" s="129">
        <f t="shared" si="23"/>
        <v>46062</v>
      </c>
      <c r="B319" s="130">
        <f>YEAR(Table13[[#This Row],[Date]])+IF(MONTH(Table13[[#This Row],[Date]])&gt;=4,1,0)</f>
        <v>2026</v>
      </c>
      <c r="C319" s="7">
        <f>YEAR(Table13[[#This Row],[Date]])</f>
        <v>2026</v>
      </c>
      <c r="D319" s="131">
        <f>Table13[[#This Row],[Date]]-DAY(Table13[[#This Row],[Date]])+1</f>
        <v>46054</v>
      </c>
      <c r="E319" s="7">
        <f t="shared" si="20"/>
        <v>28</v>
      </c>
      <c r="F319" s="132" t="str">
        <f>IFERROR(_xlfn.XLOOKUP($A319,'Raw Data'!$G:$G,'Raw Data'!$AM:$AM),"")</f>
        <v/>
      </c>
      <c r="G319" s="133" t="str">
        <f>IFERROR(_xlfn.XLOOKUP($A319,'Raw Data'!$G:$G,'Raw Data'!$AB:$AB),"")</f>
        <v/>
      </c>
      <c r="H319" s="133"/>
      <c r="I319" s="133" t="str">
        <f>IFERROR(_xlfn.XLOOKUP($A319,'Raw Data'!$G:$G,'Raw Data'!$AC:$AC),"")</f>
        <v/>
      </c>
      <c r="J319" s="133"/>
      <c r="K319" s="133" t="str">
        <f>IFERROR(_xlfn.XLOOKUP($A319,'Raw Data'!$G:$G,'Raw Data'!AD:AD),"")</f>
        <v/>
      </c>
      <c r="L319" s="133" t="str">
        <f>IFERROR(_xlfn.XLOOKUP($A319,'Raw Data'!$G:$G,'Raw Data'!AE:AE),"")</f>
        <v/>
      </c>
      <c r="M319" s="133" t="str">
        <f>IFERROR(_xlfn.XLOOKUP($A319,'Raw Data'!$G:$G,'Raw Data'!AF:AF),"")</f>
        <v/>
      </c>
      <c r="N319" s="133" t="str">
        <f>IFERROR(_xlfn.XLOOKUP($A319,'Raw Data'!$G:$G,'Raw Data'!AG:AG),"")</f>
        <v/>
      </c>
      <c r="O319" s="134" t="str">
        <f>IFERROR(1-SUMIF('Plant BD'!$H:$H,$A319,'Plant BD'!$AE:$AE)/($AA319+SUMIF('Plant BD'!$H:$H,$A319,'Plant BD'!$AE:$AE)),"")</f>
        <v/>
      </c>
      <c r="P319" s="134"/>
      <c r="Q319" s="135"/>
      <c r="R319" s="134" t="str">
        <f>IFERROR(1-SUMIF('Grid BD'!$H:$H,$A319,'Grid BD'!$AD:$AD)/($AA319+SUMIF('Grid BD'!$H:$H,$A319,'Grid BD'!$AD:$AD)),"")</f>
        <v/>
      </c>
      <c r="T319" s="135"/>
      <c r="U319" s="136" t="str">
        <f t="shared" si="21"/>
        <v/>
      </c>
      <c r="V319" s="136"/>
      <c r="W319" s="137" t="str">
        <f t="shared" si="22"/>
        <v/>
      </c>
      <c r="X319" s="130" t="str">
        <f>IFERROR(_xlfn.XLOOKUP($A319,'Raw Data'!$G:$G,'Raw Data'!AI:AI),"")</f>
        <v/>
      </c>
      <c r="Y319" s="130" t="str">
        <f>IFERROR(_xlfn.XLOOKUP($A319,'Raw Data'!$G:$G,'Raw Data'!AJ:AJ),"")</f>
        <v/>
      </c>
      <c r="Z319" s="130" t="str">
        <f>IFERROR(_xlfn.XLOOKUP($A319,'Raw Data'!$G:$G,'Raw Data'!AK:AK),"")</f>
        <v/>
      </c>
      <c r="AA319" s="130" t="str">
        <f>IFERROR(_xlfn.XLOOKUP($A319,'Raw Data'!$G:$G,'Raw Data'!AL:AL),"")</f>
        <v/>
      </c>
      <c r="AB319" s="130" t="str">
        <f>IFERROR(_xlfn.XLOOKUP($A319,'Raw Data'!$G:$G,'Raw Data'!H:H),"")</f>
        <v/>
      </c>
      <c r="AC319" s="76">
        <f>IFERROR(_xlfn.XLOOKUP($D319,'Modelling New'!$D:$D,'Modelling New'!P:P),"")</f>
        <v>6.5714285714285712</v>
      </c>
      <c r="AD319" s="130">
        <f>IFERROR(_xlfn.XLOOKUP($D319,'Modelling New'!$D:$D,'Modelling New'!$T:$T)*1000,"")</f>
        <v>33989.340219935533</v>
      </c>
      <c r="AE319" s="138">
        <f>IFERROR(_xlfn.XLOOKUP($D319,'Modelling New'!$D:$D,'Modelling New'!O:O),"")</f>
        <v>0.64485168784471436</v>
      </c>
      <c r="AF319" s="137">
        <f>IFERROR(_xlfn.XLOOKUP($D319,'Modelling New'!$D:$D,'Modelling New'!W:W),"")</f>
        <v>0.17656653357652891</v>
      </c>
      <c r="AG319" s="137">
        <f>IFERROR(_xlfn.XLOOKUP($D319,'Modelling New'!$D:$D,'Modelling New'!AE:AE),"")</f>
        <v>0.98040000000000005</v>
      </c>
      <c r="AH319" s="156">
        <f>IFERROR(_xlfn.XLOOKUP($D319,'Modelling New'!$D:$D,'Modelling New'!AF:AF),"")</f>
        <v>0.98</v>
      </c>
      <c r="AN319" s="134"/>
      <c r="AO319" s="137"/>
      <c r="AP319" s="137"/>
      <c r="AQ319" s="137"/>
      <c r="AR319" s="130">
        <f>'Basic Data'!$B$98/1000</f>
        <v>8.0208999999999993</v>
      </c>
    </row>
    <row r="320" spans="1:44" x14ac:dyDescent="0.3">
      <c r="A320" s="129">
        <f t="shared" si="23"/>
        <v>46063</v>
      </c>
      <c r="B320" s="130">
        <f>YEAR(Table13[[#This Row],[Date]])+IF(MONTH(Table13[[#This Row],[Date]])&gt;=4,1,0)</f>
        <v>2026</v>
      </c>
      <c r="C320" s="7">
        <f>YEAR(Table13[[#This Row],[Date]])</f>
        <v>2026</v>
      </c>
      <c r="D320" s="131">
        <f>Table13[[#This Row],[Date]]-DAY(Table13[[#This Row],[Date]])+1</f>
        <v>46054</v>
      </c>
      <c r="E320" s="7">
        <f t="shared" si="20"/>
        <v>28</v>
      </c>
      <c r="F320" s="132" t="str">
        <f>IFERROR(_xlfn.XLOOKUP($A320,'Raw Data'!$G:$G,'Raw Data'!$AM:$AM),"")</f>
        <v/>
      </c>
      <c r="G320" s="133" t="str">
        <f>IFERROR(_xlfn.XLOOKUP($A320,'Raw Data'!$G:$G,'Raw Data'!$AB:$AB),"")</f>
        <v/>
      </c>
      <c r="H320" s="133"/>
      <c r="I320" s="133" t="str">
        <f>IFERROR(_xlfn.XLOOKUP($A320,'Raw Data'!$G:$G,'Raw Data'!$AC:$AC),"")</f>
        <v/>
      </c>
      <c r="J320" s="133"/>
      <c r="K320" s="133" t="str">
        <f>IFERROR(_xlfn.XLOOKUP($A320,'Raw Data'!$G:$G,'Raw Data'!AD:AD),"")</f>
        <v/>
      </c>
      <c r="L320" s="133" t="str">
        <f>IFERROR(_xlfn.XLOOKUP($A320,'Raw Data'!$G:$G,'Raw Data'!AE:AE),"")</f>
        <v/>
      </c>
      <c r="M320" s="133" t="str">
        <f>IFERROR(_xlfn.XLOOKUP($A320,'Raw Data'!$G:$G,'Raw Data'!AF:AF),"")</f>
        <v/>
      </c>
      <c r="N320" s="133" t="str">
        <f>IFERROR(_xlfn.XLOOKUP($A320,'Raw Data'!$G:$G,'Raw Data'!AG:AG),"")</f>
        <v/>
      </c>
      <c r="O320" s="134" t="str">
        <f>IFERROR(1-SUMIF('Plant BD'!$H:$H,$A320,'Plant BD'!$AE:$AE)/($AA320+SUMIF('Plant BD'!$H:$H,$A320,'Plant BD'!$AE:$AE)),"")</f>
        <v/>
      </c>
      <c r="P320" s="134"/>
      <c r="Q320" s="135"/>
      <c r="R320" s="134" t="str">
        <f>IFERROR(1-SUMIF('Grid BD'!$H:$H,$A320,'Grid BD'!$AD:$AD)/($AA320+SUMIF('Grid BD'!$H:$H,$A320,'Grid BD'!$AD:$AD)),"")</f>
        <v/>
      </c>
      <c r="T320" s="135"/>
      <c r="U320" s="136" t="str">
        <f t="shared" si="21"/>
        <v/>
      </c>
      <c r="V320" s="136"/>
      <c r="W320" s="137" t="str">
        <f t="shared" si="22"/>
        <v/>
      </c>
      <c r="X320" s="130" t="str">
        <f>IFERROR(_xlfn.XLOOKUP($A320,'Raw Data'!$G:$G,'Raw Data'!AI:AI),"")</f>
        <v/>
      </c>
      <c r="Y320" s="130" t="str">
        <f>IFERROR(_xlfn.XLOOKUP($A320,'Raw Data'!$G:$G,'Raw Data'!AJ:AJ),"")</f>
        <v/>
      </c>
      <c r="Z320" s="130" t="str">
        <f>IFERROR(_xlfn.XLOOKUP($A320,'Raw Data'!$G:$G,'Raw Data'!AK:AK),"")</f>
        <v/>
      </c>
      <c r="AA320" s="130" t="str">
        <f>IFERROR(_xlfn.XLOOKUP($A320,'Raw Data'!$G:$G,'Raw Data'!AL:AL),"")</f>
        <v/>
      </c>
      <c r="AB320" s="130" t="str">
        <f>IFERROR(_xlfn.XLOOKUP($A320,'Raw Data'!$G:$G,'Raw Data'!H:H),"")</f>
        <v/>
      </c>
      <c r="AC320" s="76">
        <f>IFERROR(_xlfn.XLOOKUP($D320,'Modelling New'!$D:$D,'Modelling New'!P:P),"")</f>
        <v>6.5714285714285712</v>
      </c>
      <c r="AD320" s="130">
        <f>IFERROR(_xlfn.XLOOKUP($D320,'Modelling New'!$D:$D,'Modelling New'!$T:$T)*1000,"")</f>
        <v>33989.340219935533</v>
      </c>
      <c r="AE320" s="138">
        <f>IFERROR(_xlfn.XLOOKUP($D320,'Modelling New'!$D:$D,'Modelling New'!O:O),"")</f>
        <v>0.64485168784471436</v>
      </c>
      <c r="AF320" s="137">
        <f>IFERROR(_xlfn.XLOOKUP($D320,'Modelling New'!$D:$D,'Modelling New'!W:W),"")</f>
        <v>0.17656653357652891</v>
      </c>
      <c r="AG320" s="137">
        <f>IFERROR(_xlfn.XLOOKUP($D320,'Modelling New'!$D:$D,'Modelling New'!AE:AE),"")</f>
        <v>0.98040000000000005</v>
      </c>
      <c r="AH320" s="156">
        <f>IFERROR(_xlfn.XLOOKUP($D320,'Modelling New'!$D:$D,'Modelling New'!AF:AF),"")</f>
        <v>0.98</v>
      </c>
      <c r="AN320" s="134"/>
      <c r="AO320" s="137"/>
      <c r="AP320" s="137"/>
      <c r="AQ320" s="137"/>
      <c r="AR320" s="130">
        <f>'Basic Data'!$B$98/1000</f>
        <v>8.0208999999999993</v>
      </c>
    </row>
    <row r="321" spans="1:44" x14ac:dyDescent="0.3">
      <c r="A321" s="129">
        <f t="shared" si="23"/>
        <v>46064</v>
      </c>
      <c r="B321" s="130">
        <f>YEAR(Table13[[#This Row],[Date]])+IF(MONTH(Table13[[#This Row],[Date]])&gt;=4,1,0)</f>
        <v>2026</v>
      </c>
      <c r="C321" s="7">
        <f>YEAR(Table13[[#This Row],[Date]])</f>
        <v>2026</v>
      </c>
      <c r="D321" s="131">
        <f>Table13[[#This Row],[Date]]-DAY(Table13[[#This Row],[Date]])+1</f>
        <v>46054</v>
      </c>
      <c r="E321" s="7">
        <f t="shared" si="20"/>
        <v>28</v>
      </c>
      <c r="F321" s="132" t="str">
        <f>IFERROR(_xlfn.XLOOKUP($A321,'Raw Data'!$G:$G,'Raw Data'!$AM:$AM),"")</f>
        <v/>
      </c>
      <c r="G321" s="133" t="str">
        <f>IFERROR(_xlfn.XLOOKUP($A321,'Raw Data'!$G:$G,'Raw Data'!$AB:$AB),"")</f>
        <v/>
      </c>
      <c r="H321" s="133"/>
      <c r="I321" s="133" t="str">
        <f>IFERROR(_xlfn.XLOOKUP($A321,'Raw Data'!$G:$G,'Raw Data'!$AC:$AC),"")</f>
        <v/>
      </c>
      <c r="J321" s="133"/>
      <c r="K321" s="133" t="str">
        <f>IFERROR(_xlfn.XLOOKUP($A321,'Raw Data'!$G:$G,'Raw Data'!AD:AD),"")</f>
        <v/>
      </c>
      <c r="L321" s="133" t="str">
        <f>IFERROR(_xlfn.XLOOKUP($A321,'Raw Data'!$G:$G,'Raw Data'!AE:AE),"")</f>
        <v/>
      </c>
      <c r="M321" s="133" t="str">
        <f>IFERROR(_xlfn.XLOOKUP($A321,'Raw Data'!$G:$G,'Raw Data'!AF:AF),"")</f>
        <v/>
      </c>
      <c r="N321" s="133" t="str">
        <f>IFERROR(_xlfn.XLOOKUP($A321,'Raw Data'!$G:$G,'Raw Data'!AG:AG),"")</f>
        <v/>
      </c>
      <c r="O321" s="134" t="str">
        <f>IFERROR(1-SUMIF('Plant BD'!$H:$H,$A321,'Plant BD'!$AE:$AE)/($AA321+SUMIF('Plant BD'!$H:$H,$A321,'Plant BD'!$AE:$AE)),"")</f>
        <v/>
      </c>
      <c r="P321" s="134"/>
      <c r="Q321" s="135"/>
      <c r="R321" s="134" t="str">
        <f>IFERROR(1-SUMIF('Grid BD'!$H:$H,$A321,'Grid BD'!$AD:$AD)/($AA321+SUMIF('Grid BD'!$H:$H,$A321,'Grid BD'!$AD:$AD)),"")</f>
        <v/>
      </c>
      <c r="T321" s="135"/>
      <c r="U321" s="136" t="str">
        <f t="shared" si="21"/>
        <v/>
      </c>
      <c r="V321" s="136"/>
      <c r="W321" s="137" t="str">
        <f t="shared" si="22"/>
        <v/>
      </c>
      <c r="X321" s="130" t="str">
        <f>IFERROR(_xlfn.XLOOKUP($A321,'Raw Data'!$G:$G,'Raw Data'!AI:AI),"")</f>
        <v/>
      </c>
      <c r="Y321" s="130" t="str">
        <f>IFERROR(_xlfn.XLOOKUP($A321,'Raw Data'!$G:$G,'Raw Data'!AJ:AJ),"")</f>
        <v/>
      </c>
      <c r="Z321" s="130" t="str">
        <f>IFERROR(_xlfn.XLOOKUP($A321,'Raw Data'!$G:$G,'Raw Data'!AK:AK),"")</f>
        <v/>
      </c>
      <c r="AA321" s="130" t="str">
        <f>IFERROR(_xlfn.XLOOKUP($A321,'Raw Data'!$G:$G,'Raw Data'!AL:AL),"")</f>
        <v/>
      </c>
      <c r="AB321" s="130" t="str">
        <f>IFERROR(_xlfn.XLOOKUP($A321,'Raw Data'!$G:$G,'Raw Data'!H:H),"")</f>
        <v/>
      </c>
      <c r="AC321" s="76">
        <f>IFERROR(_xlfn.XLOOKUP($D321,'Modelling New'!$D:$D,'Modelling New'!P:P),"")</f>
        <v>6.5714285714285712</v>
      </c>
      <c r="AD321" s="130">
        <f>IFERROR(_xlfn.XLOOKUP($D321,'Modelling New'!$D:$D,'Modelling New'!$T:$T)*1000,"")</f>
        <v>33989.340219935533</v>
      </c>
      <c r="AE321" s="138">
        <f>IFERROR(_xlfn.XLOOKUP($D321,'Modelling New'!$D:$D,'Modelling New'!O:O),"")</f>
        <v>0.64485168784471436</v>
      </c>
      <c r="AF321" s="137">
        <f>IFERROR(_xlfn.XLOOKUP($D321,'Modelling New'!$D:$D,'Modelling New'!W:W),"")</f>
        <v>0.17656653357652891</v>
      </c>
      <c r="AG321" s="137">
        <f>IFERROR(_xlfn.XLOOKUP($D321,'Modelling New'!$D:$D,'Modelling New'!AE:AE),"")</f>
        <v>0.98040000000000005</v>
      </c>
      <c r="AH321" s="156">
        <f>IFERROR(_xlfn.XLOOKUP($D321,'Modelling New'!$D:$D,'Modelling New'!AF:AF),"")</f>
        <v>0.98</v>
      </c>
      <c r="AN321" s="134"/>
      <c r="AO321" s="137"/>
      <c r="AP321" s="137"/>
      <c r="AQ321" s="137"/>
      <c r="AR321" s="130">
        <f>'Basic Data'!$B$98/1000</f>
        <v>8.0208999999999993</v>
      </c>
    </row>
    <row r="322" spans="1:44" x14ac:dyDescent="0.3">
      <c r="A322" s="129">
        <f t="shared" si="23"/>
        <v>46065</v>
      </c>
      <c r="B322" s="130">
        <f>YEAR(Table13[[#This Row],[Date]])+IF(MONTH(Table13[[#This Row],[Date]])&gt;=4,1,0)</f>
        <v>2026</v>
      </c>
      <c r="C322" s="7">
        <f>YEAR(Table13[[#This Row],[Date]])</f>
        <v>2026</v>
      </c>
      <c r="D322" s="131">
        <f>Table13[[#This Row],[Date]]-DAY(Table13[[#This Row],[Date]])+1</f>
        <v>46054</v>
      </c>
      <c r="E322" s="7">
        <f t="shared" si="20"/>
        <v>28</v>
      </c>
      <c r="F322" s="132" t="str">
        <f>IFERROR(_xlfn.XLOOKUP($A322,'Raw Data'!$G:$G,'Raw Data'!$AM:$AM),"")</f>
        <v/>
      </c>
      <c r="G322" s="133" t="str">
        <f>IFERROR(_xlfn.XLOOKUP($A322,'Raw Data'!$G:$G,'Raw Data'!$AB:$AB),"")</f>
        <v/>
      </c>
      <c r="H322" s="133"/>
      <c r="I322" s="133" t="str">
        <f>IFERROR(_xlfn.XLOOKUP($A322,'Raw Data'!$G:$G,'Raw Data'!$AC:$AC),"")</f>
        <v/>
      </c>
      <c r="J322" s="133"/>
      <c r="K322" s="133" t="str">
        <f>IFERROR(_xlfn.XLOOKUP($A322,'Raw Data'!$G:$G,'Raw Data'!AD:AD),"")</f>
        <v/>
      </c>
      <c r="L322" s="133" t="str">
        <f>IFERROR(_xlfn.XLOOKUP($A322,'Raw Data'!$G:$G,'Raw Data'!AE:AE),"")</f>
        <v/>
      </c>
      <c r="M322" s="133" t="str">
        <f>IFERROR(_xlfn.XLOOKUP($A322,'Raw Data'!$G:$G,'Raw Data'!AF:AF),"")</f>
        <v/>
      </c>
      <c r="N322" s="133" t="str">
        <f>IFERROR(_xlfn.XLOOKUP($A322,'Raw Data'!$G:$G,'Raw Data'!AG:AG),"")</f>
        <v/>
      </c>
      <c r="O322" s="134" t="str">
        <f>IFERROR(1-SUMIF('Plant BD'!$H:$H,$A322,'Plant BD'!$AE:$AE)/($AA322+SUMIF('Plant BD'!$H:$H,$A322,'Plant BD'!$AE:$AE)),"")</f>
        <v/>
      </c>
      <c r="P322" s="134"/>
      <c r="Q322" s="135"/>
      <c r="R322" s="134" t="str">
        <f>IFERROR(1-SUMIF('Grid BD'!$H:$H,$A322,'Grid BD'!$AD:$AD)/($AA322+SUMIF('Grid BD'!$H:$H,$A322,'Grid BD'!$AD:$AD)),"")</f>
        <v/>
      </c>
      <c r="T322" s="135"/>
      <c r="U322" s="136" t="str">
        <f t="shared" si="21"/>
        <v/>
      </c>
      <c r="V322" s="136"/>
      <c r="W322" s="137" t="str">
        <f t="shared" si="22"/>
        <v/>
      </c>
      <c r="X322" s="130" t="str">
        <f>IFERROR(_xlfn.XLOOKUP($A322,'Raw Data'!$G:$G,'Raw Data'!AI:AI),"")</f>
        <v/>
      </c>
      <c r="Y322" s="130" t="str">
        <f>IFERROR(_xlfn.XLOOKUP($A322,'Raw Data'!$G:$G,'Raw Data'!AJ:AJ),"")</f>
        <v/>
      </c>
      <c r="Z322" s="130" t="str">
        <f>IFERROR(_xlfn.XLOOKUP($A322,'Raw Data'!$G:$G,'Raw Data'!AK:AK),"")</f>
        <v/>
      </c>
      <c r="AA322" s="130" t="str">
        <f>IFERROR(_xlfn.XLOOKUP($A322,'Raw Data'!$G:$G,'Raw Data'!AL:AL),"")</f>
        <v/>
      </c>
      <c r="AB322" s="130" t="str">
        <f>IFERROR(_xlfn.XLOOKUP($A322,'Raw Data'!$G:$G,'Raw Data'!H:H),"")</f>
        <v/>
      </c>
      <c r="AC322" s="76">
        <f>IFERROR(_xlfn.XLOOKUP($D322,'Modelling New'!$D:$D,'Modelling New'!P:P),"")</f>
        <v>6.5714285714285712</v>
      </c>
      <c r="AD322" s="130">
        <f>IFERROR(_xlfn.XLOOKUP($D322,'Modelling New'!$D:$D,'Modelling New'!$T:$T)*1000,"")</f>
        <v>33989.340219935533</v>
      </c>
      <c r="AE322" s="138">
        <f>IFERROR(_xlfn.XLOOKUP($D322,'Modelling New'!$D:$D,'Modelling New'!O:O),"")</f>
        <v>0.64485168784471436</v>
      </c>
      <c r="AF322" s="137">
        <f>IFERROR(_xlfn.XLOOKUP($D322,'Modelling New'!$D:$D,'Modelling New'!W:W),"")</f>
        <v>0.17656653357652891</v>
      </c>
      <c r="AG322" s="137">
        <f>IFERROR(_xlfn.XLOOKUP($D322,'Modelling New'!$D:$D,'Modelling New'!AE:AE),"")</f>
        <v>0.98040000000000005</v>
      </c>
      <c r="AH322" s="156">
        <f>IFERROR(_xlfn.XLOOKUP($D322,'Modelling New'!$D:$D,'Modelling New'!AF:AF),"")</f>
        <v>0.98</v>
      </c>
      <c r="AN322" s="134"/>
      <c r="AO322" s="137"/>
      <c r="AP322" s="137"/>
      <c r="AQ322" s="137"/>
      <c r="AR322" s="130">
        <f>'Basic Data'!$B$98/1000</f>
        <v>8.0208999999999993</v>
      </c>
    </row>
    <row r="323" spans="1:44" x14ac:dyDescent="0.3">
      <c r="A323" s="129">
        <f t="shared" si="23"/>
        <v>46066</v>
      </c>
      <c r="B323" s="130">
        <f>YEAR(Table13[[#This Row],[Date]])+IF(MONTH(Table13[[#This Row],[Date]])&gt;=4,1,0)</f>
        <v>2026</v>
      </c>
      <c r="C323" s="7">
        <f>YEAR(Table13[[#This Row],[Date]])</f>
        <v>2026</v>
      </c>
      <c r="D323" s="131">
        <f>Table13[[#This Row],[Date]]-DAY(Table13[[#This Row],[Date]])+1</f>
        <v>46054</v>
      </c>
      <c r="E323" s="7">
        <f t="shared" si="20"/>
        <v>28</v>
      </c>
      <c r="F323" s="132" t="str">
        <f>IFERROR(_xlfn.XLOOKUP($A323,'Raw Data'!$G:$G,'Raw Data'!$AM:$AM),"")</f>
        <v/>
      </c>
      <c r="G323" s="133" t="str">
        <f>IFERROR(_xlfn.XLOOKUP($A323,'Raw Data'!$G:$G,'Raw Data'!$AB:$AB),"")</f>
        <v/>
      </c>
      <c r="H323" s="133"/>
      <c r="I323" s="133" t="str">
        <f>IFERROR(_xlfn.XLOOKUP($A323,'Raw Data'!$G:$G,'Raw Data'!$AC:$AC),"")</f>
        <v/>
      </c>
      <c r="J323" s="133"/>
      <c r="K323" s="133" t="str">
        <f>IFERROR(_xlfn.XLOOKUP($A323,'Raw Data'!$G:$G,'Raw Data'!AD:AD),"")</f>
        <v/>
      </c>
      <c r="L323" s="133" t="str">
        <f>IFERROR(_xlfn.XLOOKUP($A323,'Raw Data'!$G:$G,'Raw Data'!AE:AE),"")</f>
        <v/>
      </c>
      <c r="M323" s="133" t="str">
        <f>IFERROR(_xlfn.XLOOKUP($A323,'Raw Data'!$G:$G,'Raw Data'!AF:AF),"")</f>
        <v/>
      </c>
      <c r="N323" s="133" t="str">
        <f>IFERROR(_xlfn.XLOOKUP($A323,'Raw Data'!$G:$G,'Raw Data'!AG:AG),"")</f>
        <v/>
      </c>
      <c r="O323" s="134" t="str">
        <f>IFERROR(1-SUMIF('Plant BD'!$H:$H,$A323,'Plant BD'!$AE:$AE)/($AA323+SUMIF('Plant BD'!$H:$H,$A323,'Plant BD'!$AE:$AE)),"")</f>
        <v/>
      </c>
      <c r="P323" s="134"/>
      <c r="Q323" s="135"/>
      <c r="R323" s="134" t="str">
        <f>IFERROR(1-SUMIF('Grid BD'!$H:$H,$A323,'Grid BD'!$AD:$AD)/($AA323+SUMIF('Grid BD'!$H:$H,$A323,'Grid BD'!$AD:$AD)),"")</f>
        <v/>
      </c>
      <c r="T323" s="135"/>
      <c r="U323" s="136" t="str">
        <f t="shared" si="21"/>
        <v/>
      </c>
      <c r="V323" s="136"/>
      <c r="W323" s="137" t="str">
        <f t="shared" si="22"/>
        <v/>
      </c>
      <c r="X323" s="130" t="str">
        <f>IFERROR(_xlfn.XLOOKUP($A323,'Raw Data'!$G:$G,'Raw Data'!AI:AI),"")</f>
        <v/>
      </c>
      <c r="Y323" s="130" t="str">
        <f>IFERROR(_xlfn.XLOOKUP($A323,'Raw Data'!$G:$G,'Raw Data'!AJ:AJ),"")</f>
        <v/>
      </c>
      <c r="Z323" s="130" t="str">
        <f>IFERROR(_xlfn.XLOOKUP($A323,'Raw Data'!$G:$G,'Raw Data'!AK:AK),"")</f>
        <v/>
      </c>
      <c r="AA323" s="130" t="str">
        <f>IFERROR(_xlfn.XLOOKUP($A323,'Raw Data'!$G:$G,'Raw Data'!AL:AL),"")</f>
        <v/>
      </c>
      <c r="AB323" s="130" t="str">
        <f>IFERROR(_xlfn.XLOOKUP($A323,'Raw Data'!$G:$G,'Raw Data'!H:H),"")</f>
        <v/>
      </c>
      <c r="AC323" s="76">
        <f>IFERROR(_xlfn.XLOOKUP($D323,'Modelling New'!$D:$D,'Modelling New'!P:P),"")</f>
        <v>6.5714285714285712</v>
      </c>
      <c r="AD323" s="130">
        <f>IFERROR(_xlfn.XLOOKUP($D323,'Modelling New'!$D:$D,'Modelling New'!$T:$T)*1000,"")</f>
        <v>33989.340219935533</v>
      </c>
      <c r="AE323" s="138">
        <f>IFERROR(_xlfn.XLOOKUP($D323,'Modelling New'!$D:$D,'Modelling New'!O:O),"")</f>
        <v>0.64485168784471436</v>
      </c>
      <c r="AF323" s="137">
        <f>IFERROR(_xlfn.XLOOKUP($D323,'Modelling New'!$D:$D,'Modelling New'!W:W),"")</f>
        <v>0.17656653357652891</v>
      </c>
      <c r="AG323" s="137">
        <f>IFERROR(_xlfn.XLOOKUP($D323,'Modelling New'!$D:$D,'Modelling New'!AE:AE),"")</f>
        <v>0.98040000000000005</v>
      </c>
      <c r="AH323" s="156">
        <f>IFERROR(_xlfn.XLOOKUP($D323,'Modelling New'!$D:$D,'Modelling New'!AF:AF),"")</f>
        <v>0.98</v>
      </c>
      <c r="AN323" s="134"/>
      <c r="AO323" s="137"/>
      <c r="AP323" s="137"/>
      <c r="AQ323" s="137"/>
      <c r="AR323" s="130">
        <f>'Basic Data'!$B$98/1000</f>
        <v>8.0208999999999993</v>
      </c>
    </row>
    <row r="324" spans="1:44" x14ac:dyDescent="0.3">
      <c r="A324" s="129">
        <f t="shared" si="23"/>
        <v>46067</v>
      </c>
      <c r="B324" s="130">
        <f>YEAR(Table13[[#This Row],[Date]])+IF(MONTH(Table13[[#This Row],[Date]])&gt;=4,1,0)</f>
        <v>2026</v>
      </c>
      <c r="C324" s="7">
        <f>YEAR(Table13[[#This Row],[Date]])</f>
        <v>2026</v>
      </c>
      <c r="D324" s="131">
        <f>Table13[[#This Row],[Date]]-DAY(Table13[[#This Row],[Date]])+1</f>
        <v>46054</v>
      </c>
      <c r="E324" s="7">
        <f t="shared" si="20"/>
        <v>28</v>
      </c>
      <c r="F324" s="132" t="str">
        <f>IFERROR(_xlfn.XLOOKUP($A324,'Raw Data'!$G:$G,'Raw Data'!$AM:$AM),"")</f>
        <v/>
      </c>
      <c r="G324" s="133" t="str">
        <f>IFERROR(_xlfn.XLOOKUP($A324,'Raw Data'!$G:$G,'Raw Data'!$AB:$AB),"")</f>
        <v/>
      </c>
      <c r="H324" s="133"/>
      <c r="I324" s="133" t="str">
        <f>IFERROR(_xlfn.XLOOKUP($A324,'Raw Data'!$G:$G,'Raw Data'!$AC:$AC),"")</f>
        <v/>
      </c>
      <c r="J324" s="133"/>
      <c r="K324" s="133" t="str">
        <f>IFERROR(_xlfn.XLOOKUP($A324,'Raw Data'!$G:$G,'Raw Data'!AD:AD),"")</f>
        <v/>
      </c>
      <c r="L324" s="133" t="str">
        <f>IFERROR(_xlfn.XLOOKUP($A324,'Raw Data'!$G:$G,'Raw Data'!AE:AE),"")</f>
        <v/>
      </c>
      <c r="M324" s="133" t="str">
        <f>IFERROR(_xlfn.XLOOKUP($A324,'Raw Data'!$G:$G,'Raw Data'!AF:AF),"")</f>
        <v/>
      </c>
      <c r="N324" s="133" t="str">
        <f>IFERROR(_xlfn.XLOOKUP($A324,'Raw Data'!$G:$G,'Raw Data'!AG:AG),"")</f>
        <v/>
      </c>
      <c r="O324" s="134" t="str">
        <f>IFERROR(1-SUMIF('Plant BD'!$H:$H,$A324,'Plant BD'!$AE:$AE)/($AA324+SUMIF('Plant BD'!$H:$H,$A324,'Plant BD'!$AE:$AE)),"")</f>
        <v/>
      </c>
      <c r="P324" s="134"/>
      <c r="Q324" s="135"/>
      <c r="R324" s="134" t="str">
        <f>IFERROR(1-SUMIF('Grid BD'!$H:$H,$A324,'Grid BD'!$AD:$AD)/($AA324+SUMIF('Grid BD'!$H:$H,$A324,'Grid BD'!$AD:$AD)),"")</f>
        <v/>
      </c>
      <c r="T324" s="135"/>
      <c r="U324" s="136" t="str">
        <f t="shared" si="21"/>
        <v/>
      </c>
      <c r="V324" s="136"/>
      <c r="W324" s="137" t="str">
        <f t="shared" si="22"/>
        <v/>
      </c>
      <c r="X324" s="130" t="str">
        <f>IFERROR(_xlfn.XLOOKUP($A324,'Raw Data'!$G:$G,'Raw Data'!AI:AI),"")</f>
        <v/>
      </c>
      <c r="Y324" s="130" t="str">
        <f>IFERROR(_xlfn.XLOOKUP($A324,'Raw Data'!$G:$G,'Raw Data'!AJ:AJ),"")</f>
        <v/>
      </c>
      <c r="Z324" s="130" t="str">
        <f>IFERROR(_xlfn.XLOOKUP($A324,'Raw Data'!$G:$G,'Raw Data'!AK:AK),"")</f>
        <v/>
      </c>
      <c r="AA324" s="130" t="str">
        <f>IFERROR(_xlfn.XLOOKUP($A324,'Raw Data'!$G:$G,'Raw Data'!AL:AL),"")</f>
        <v/>
      </c>
      <c r="AB324" s="130" t="str">
        <f>IFERROR(_xlfn.XLOOKUP($A324,'Raw Data'!$G:$G,'Raw Data'!H:H),"")</f>
        <v/>
      </c>
      <c r="AC324" s="76">
        <f>IFERROR(_xlfn.XLOOKUP($D324,'Modelling New'!$D:$D,'Modelling New'!P:P),"")</f>
        <v>6.5714285714285712</v>
      </c>
      <c r="AD324" s="130">
        <f>IFERROR(_xlfn.XLOOKUP($D324,'Modelling New'!$D:$D,'Modelling New'!$T:$T)*1000,"")</f>
        <v>33989.340219935533</v>
      </c>
      <c r="AE324" s="138">
        <f>IFERROR(_xlfn.XLOOKUP($D324,'Modelling New'!$D:$D,'Modelling New'!O:O),"")</f>
        <v>0.64485168784471436</v>
      </c>
      <c r="AF324" s="137">
        <f>IFERROR(_xlfn.XLOOKUP($D324,'Modelling New'!$D:$D,'Modelling New'!W:W),"")</f>
        <v>0.17656653357652891</v>
      </c>
      <c r="AG324" s="137">
        <f>IFERROR(_xlfn.XLOOKUP($D324,'Modelling New'!$D:$D,'Modelling New'!AE:AE),"")</f>
        <v>0.98040000000000005</v>
      </c>
      <c r="AH324" s="156">
        <f>IFERROR(_xlfn.XLOOKUP($D324,'Modelling New'!$D:$D,'Modelling New'!AF:AF),"")</f>
        <v>0.98</v>
      </c>
      <c r="AN324" s="134"/>
      <c r="AO324" s="137"/>
      <c r="AP324" s="137"/>
      <c r="AQ324" s="137"/>
      <c r="AR324" s="130">
        <f>'Basic Data'!$B$98/1000</f>
        <v>8.0208999999999993</v>
      </c>
    </row>
    <row r="325" spans="1:44" x14ac:dyDescent="0.3">
      <c r="A325" s="129">
        <f t="shared" si="23"/>
        <v>46068</v>
      </c>
      <c r="B325" s="130">
        <f>YEAR(Table13[[#This Row],[Date]])+IF(MONTH(Table13[[#This Row],[Date]])&gt;=4,1,0)</f>
        <v>2026</v>
      </c>
      <c r="C325" s="7">
        <f>YEAR(Table13[[#This Row],[Date]])</f>
        <v>2026</v>
      </c>
      <c r="D325" s="131">
        <f>Table13[[#This Row],[Date]]-DAY(Table13[[#This Row],[Date]])+1</f>
        <v>46054</v>
      </c>
      <c r="E325" s="7">
        <f t="shared" si="20"/>
        <v>28</v>
      </c>
      <c r="F325" s="132" t="str">
        <f>IFERROR(_xlfn.XLOOKUP($A325,'Raw Data'!$G:$G,'Raw Data'!$AM:$AM),"")</f>
        <v/>
      </c>
      <c r="G325" s="133" t="str">
        <f>IFERROR(_xlfn.XLOOKUP($A325,'Raw Data'!$G:$G,'Raw Data'!$AB:$AB),"")</f>
        <v/>
      </c>
      <c r="H325" s="133"/>
      <c r="I325" s="133" t="str">
        <f>IFERROR(_xlfn.XLOOKUP($A325,'Raw Data'!$G:$G,'Raw Data'!$AC:$AC),"")</f>
        <v/>
      </c>
      <c r="J325" s="133"/>
      <c r="K325" s="133" t="str">
        <f>IFERROR(_xlfn.XLOOKUP($A325,'Raw Data'!$G:$G,'Raw Data'!AD:AD),"")</f>
        <v/>
      </c>
      <c r="L325" s="133" t="str">
        <f>IFERROR(_xlfn.XLOOKUP($A325,'Raw Data'!$G:$G,'Raw Data'!AE:AE),"")</f>
        <v/>
      </c>
      <c r="M325" s="133" t="str">
        <f>IFERROR(_xlfn.XLOOKUP($A325,'Raw Data'!$G:$G,'Raw Data'!AF:AF),"")</f>
        <v/>
      </c>
      <c r="N325" s="133" t="str">
        <f>IFERROR(_xlfn.XLOOKUP($A325,'Raw Data'!$G:$G,'Raw Data'!AG:AG),"")</f>
        <v/>
      </c>
      <c r="O325" s="134" t="str">
        <f>IFERROR(1-SUMIF('Plant BD'!$H:$H,$A325,'Plant BD'!$AE:$AE)/($AA325+SUMIF('Plant BD'!$H:$H,$A325,'Plant BD'!$AE:$AE)),"")</f>
        <v/>
      </c>
      <c r="P325" s="134"/>
      <c r="Q325" s="135"/>
      <c r="R325" s="134" t="str">
        <f>IFERROR(1-SUMIF('Grid BD'!$H:$H,$A325,'Grid BD'!$AD:$AD)/($AA325+SUMIF('Grid BD'!$H:$H,$A325,'Grid BD'!$AD:$AD)),"")</f>
        <v/>
      </c>
      <c r="T325" s="135"/>
      <c r="U325" s="136" t="str">
        <f t="shared" si="21"/>
        <v/>
      </c>
      <c r="V325" s="136"/>
      <c r="W325" s="137" t="str">
        <f t="shared" si="22"/>
        <v/>
      </c>
      <c r="X325" s="130" t="str">
        <f>IFERROR(_xlfn.XLOOKUP($A325,'Raw Data'!$G:$G,'Raw Data'!AI:AI),"")</f>
        <v/>
      </c>
      <c r="Y325" s="130" t="str">
        <f>IFERROR(_xlfn.XLOOKUP($A325,'Raw Data'!$G:$G,'Raw Data'!AJ:AJ),"")</f>
        <v/>
      </c>
      <c r="Z325" s="130" t="str">
        <f>IFERROR(_xlfn.XLOOKUP($A325,'Raw Data'!$G:$G,'Raw Data'!AK:AK),"")</f>
        <v/>
      </c>
      <c r="AA325" s="130" t="str">
        <f>IFERROR(_xlfn.XLOOKUP($A325,'Raw Data'!$G:$G,'Raw Data'!AL:AL),"")</f>
        <v/>
      </c>
      <c r="AB325" s="130" t="str">
        <f>IFERROR(_xlfn.XLOOKUP($A325,'Raw Data'!$G:$G,'Raw Data'!H:H),"")</f>
        <v/>
      </c>
      <c r="AC325" s="76">
        <f>IFERROR(_xlfn.XLOOKUP($D325,'Modelling New'!$D:$D,'Modelling New'!P:P),"")</f>
        <v>6.5714285714285712</v>
      </c>
      <c r="AD325" s="130">
        <f>IFERROR(_xlfn.XLOOKUP($D325,'Modelling New'!$D:$D,'Modelling New'!$T:$T)*1000,"")</f>
        <v>33989.340219935533</v>
      </c>
      <c r="AE325" s="138">
        <f>IFERROR(_xlfn.XLOOKUP($D325,'Modelling New'!$D:$D,'Modelling New'!O:O),"")</f>
        <v>0.64485168784471436</v>
      </c>
      <c r="AF325" s="137">
        <f>IFERROR(_xlfn.XLOOKUP($D325,'Modelling New'!$D:$D,'Modelling New'!W:W),"")</f>
        <v>0.17656653357652891</v>
      </c>
      <c r="AG325" s="137">
        <f>IFERROR(_xlfn.XLOOKUP($D325,'Modelling New'!$D:$D,'Modelling New'!AE:AE),"")</f>
        <v>0.98040000000000005</v>
      </c>
      <c r="AH325" s="156">
        <f>IFERROR(_xlfn.XLOOKUP($D325,'Modelling New'!$D:$D,'Modelling New'!AF:AF),"")</f>
        <v>0.98</v>
      </c>
      <c r="AN325" s="134"/>
      <c r="AO325" s="137"/>
      <c r="AP325" s="137"/>
      <c r="AQ325" s="137"/>
      <c r="AR325" s="130">
        <f>'Basic Data'!$B$98/1000</f>
        <v>8.0208999999999993</v>
      </c>
    </row>
    <row r="326" spans="1:44" x14ac:dyDescent="0.3">
      <c r="A326" s="129">
        <f t="shared" si="23"/>
        <v>46069</v>
      </c>
      <c r="B326" s="130">
        <f>YEAR(Table13[[#This Row],[Date]])+IF(MONTH(Table13[[#This Row],[Date]])&gt;=4,1,0)</f>
        <v>2026</v>
      </c>
      <c r="C326" s="7">
        <f>YEAR(Table13[[#This Row],[Date]])</f>
        <v>2026</v>
      </c>
      <c r="D326" s="131">
        <f>Table13[[#This Row],[Date]]-DAY(Table13[[#This Row],[Date]])+1</f>
        <v>46054</v>
      </c>
      <c r="E326" s="7">
        <f t="shared" si="20"/>
        <v>28</v>
      </c>
      <c r="F326" s="132" t="str">
        <f>IFERROR(_xlfn.XLOOKUP($A326,'Raw Data'!$G:$G,'Raw Data'!$AM:$AM),"")</f>
        <v/>
      </c>
      <c r="G326" s="133" t="str">
        <f>IFERROR(_xlfn.XLOOKUP($A326,'Raw Data'!$G:$G,'Raw Data'!$AB:$AB),"")</f>
        <v/>
      </c>
      <c r="H326" s="133"/>
      <c r="I326" s="133" t="str">
        <f>IFERROR(_xlfn.XLOOKUP($A326,'Raw Data'!$G:$G,'Raw Data'!$AC:$AC),"")</f>
        <v/>
      </c>
      <c r="J326" s="133"/>
      <c r="K326" s="133" t="str">
        <f>IFERROR(_xlfn.XLOOKUP($A326,'Raw Data'!$G:$G,'Raw Data'!AD:AD),"")</f>
        <v/>
      </c>
      <c r="L326" s="133" t="str">
        <f>IFERROR(_xlfn.XLOOKUP($A326,'Raw Data'!$G:$G,'Raw Data'!AE:AE),"")</f>
        <v/>
      </c>
      <c r="M326" s="133" t="str">
        <f>IFERROR(_xlfn.XLOOKUP($A326,'Raw Data'!$G:$G,'Raw Data'!AF:AF),"")</f>
        <v/>
      </c>
      <c r="N326" s="133" t="str">
        <f>IFERROR(_xlfn.XLOOKUP($A326,'Raw Data'!$G:$G,'Raw Data'!AG:AG),"")</f>
        <v/>
      </c>
      <c r="O326" s="134" t="str">
        <f>IFERROR(1-SUMIF('Plant BD'!$H:$H,$A326,'Plant BD'!$AE:$AE)/($AA326+SUMIF('Plant BD'!$H:$H,$A326,'Plant BD'!$AE:$AE)),"")</f>
        <v/>
      </c>
      <c r="P326" s="134"/>
      <c r="Q326" s="135"/>
      <c r="R326" s="134" t="str">
        <f>IFERROR(1-SUMIF('Grid BD'!$H:$H,$A326,'Grid BD'!$AD:$AD)/($AA326+SUMIF('Grid BD'!$H:$H,$A326,'Grid BD'!$AD:$AD)),"")</f>
        <v/>
      </c>
      <c r="T326" s="135"/>
      <c r="U326" s="136" t="str">
        <f t="shared" si="21"/>
        <v/>
      </c>
      <c r="V326" s="136"/>
      <c r="W326" s="137" t="str">
        <f t="shared" si="22"/>
        <v/>
      </c>
      <c r="X326" s="130" t="str">
        <f>IFERROR(_xlfn.XLOOKUP($A326,'Raw Data'!$G:$G,'Raw Data'!AI:AI),"")</f>
        <v/>
      </c>
      <c r="Y326" s="130" t="str">
        <f>IFERROR(_xlfn.XLOOKUP($A326,'Raw Data'!$G:$G,'Raw Data'!AJ:AJ),"")</f>
        <v/>
      </c>
      <c r="Z326" s="130" t="str">
        <f>IFERROR(_xlfn.XLOOKUP($A326,'Raw Data'!$G:$G,'Raw Data'!AK:AK),"")</f>
        <v/>
      </c>
      <c r="AA326" s="130" t="str">
        <f>IFERROR(_xlfn.XLOOKUP($A326,'Raw Data'!$G:$G,'Raw Data'!AL:AL),"")</f>
        <v/>
      </c>
      <c r="AB326" s="130" t="str">
        <f>IFERROR(_xlfn.XLOOKUP($A326,'Raw Data'!$G:$G,'Raw Data'!H:H),"")</f>
        <v/>
      </c>
      <c r="AC326" s="76">
        <f>IFERROR(_xlfn.XLOOKUP($D326,'Modelling New'!$D:$D,'Modelling New'!P:P),"")</f>
        <v>6.5714285714285712</v>
      </c>
      <c r="AD326" s="130">
        <f>IFERROR(_xlfn.XLOOKUP($D326,'Modelling New'!$D:$D,'Modelling New'!$T:$T)*1000,"")</f>
        <v>33989.340219935533</v>
      </c>
      <c r="AE326" s="138">
        <f>IFERROR(_xlfn.XLOOKUP($D326,'Modelling New'!$D:$D,'Modelling New'!O:O),"")</f>
        <v>0.64485168784471436</v>
      </c>
      <c r="AF326" s="137">
        <f>IFERROR(_xlfn.XLOOKUP($D326,'Modelling New'!$D:$D,'Modelling New'!W:W),"")</f>
        <v>0.17656653357652891</v>
      </c>
      <c r="AG326" s="137">
        <f>IFERROR(_xlfn.XLOOKUP($D326,'Modelling New'!$D:$D,'Modelling New'!AE:AE),"")</f>
        <v>0.98040000000000005</v>
      </c>
      <c r="AH326" s="156">
        <f>IFERROR(_xlfn.XLOOKUP($D326,'Modelling New'!$D:$D,'Modelling New'!AF:AF),"")</f>
        <v>0.98</v>
      </c>
      <c r="AN326" s="134"/>
      <c r="AO326" s="137"/>
      <c r="AP326" s="137"/>
      <c r="AQ326" s="137"/>
      <c r="AR326" s="130">
        <f>'Basic Data'!$B$98/1000</f>
        <v>8.0208999999999993</v>
      </c>
    </row>
    <row r="327" spans="1:44" x14ac:dyDescent="0.3">
      <c r="A327" s="129">
        <f t="shared" si="23"/>
        <v>46070</v>
      </c>
      <c r="B327" s="130">
        <f>YEAR(Table13[[#This Row],[Date]])+IF(MONTH(Table13[[#This Row],[Date]])&gt;=4,1,0)</f>
        <v>2026</v>
      </c>
      <c r="C327" s="7">
        <f>YEAR(Table13[[#This Row],[Date]])</f>
        <v>2026</v>
      </c>
      <c r="D327" s="131">
        <f>Table13[[#This Row],[Date]]-DAY(Table13[[#This Row],[Date]])+1</f>
        <v>46054</v>
      </c>
      <c r="E327" s="7">
        <f t="shared" si="20"/>
        <v>28</v>
      </c>
      <c r="F327" s="132" t="str">
        <f>IFERROR(_xlfn.XLOOKUP($A327,'Raw Data'!$G:$G,'Raw Data'!$AM:$AM),"")</f>
        <v/>
      </c>
      <c r="G327" s="133" t="str">
        <f>IFERROR(_xlfn.XLOOKUP($A327,'Raw Data'!$G:$G,'Raw Data'!$AB:$AB),"")</f>
        <v/>
      </c>
      <c r="H327" s="133"/>
      <c r="I327" s="133" t="str">
        <f>IFERROR(_xlfn.XLOOKUP($A327,'Raw Data'!$G:$G,'Raw Data'!$AC:$AC),"")</f>
        <v/>
      </c>
      <c r="J327" s="133"/>
      <c r="K327" s="133" t="str">
        <f>IFERROR(_xlfn.XLOOKUP($A327,'Raw Data'!$G:$G,'Raw Data'!AD:AD),"")</f>
        <v/>
      </c>
      <c r="L327" s="133" t="str">
        <f>IFERROR(_xlfn.XLOOKUP($A327,'Raw Data'!$G:$G,'Raw Data'!AE:AE),"")</f>
        <v/>
      </c>
      <c r="M327" s="133" t="str">
        <f>IFERROR(_xlfn.XLOOKUP($A327,'Raw Data'!$G:$G,'Raw Data'!AF:AF),"")</f>
        <v/>
      </c>
      <c r="N327" s="133" t="str">
        <f>IFERROR(_xlfn.XLOOKUP($A327,'Raw Data'!$G:$G,'Raw Data'!AG:AG),"")</f>
        <v/>
      </c>
      <c r="O327" s="134" t="str">
        <f>IFERROR(1-SUMIF('Plant BD'!$H:$H,$A327,'Plant BD'!$AE:$AE)/($AA327+SUMIF('Plant BD'!$H:$H,$A327,'Plant BD'!$AE:$AE)),"")</f>
        <v/>
      </c>
      <c r="P327" s="134"/>
      <c r="Q327" s="135"/>
      <c r="R327" s="134" t="str">
        <f>IFERROR(1-SUMIF('Grid BD'!$H:$H,$A327,'Grid BD'!$AD:$AD)/($AA327+SUMIF('Grid BD'!$H:$H,$A327,'Grid BD'!$AD:$AD)),"")</f>
        <v/>
      </c>
      <c r="T327" s="135"/>
      <c r="U327" s="136" t="str">
        <f t="shared" si="21"/>
        <v/>
      </c>
      <c r="V327" s="136"/>
      <c r="W327" s="137" t="str">
        <f t="shared" si="22"/>
        <v/>
      </c>
      <c r="X327" s="130" t="str">
        <f>IFERROR(_xlfn.XLOOKUP($A327,'Raw Data'!$G:$G,'Raw Data'!AI:AI),"")</f>
        <v/>
      </c>
      <c r="Y327" s="130" t="str">
        <f>IFERROR(_xlfn.XLOOKUP($A327,'Raw Data'!$G:$G,'Raw Data'!AJ:AJ),"")</f>
        <v/>
      </c>
      <c r="Z327" s="130" t="str">
        <f>IFERROR(_xlfn.XLOOKUP($A327,'Raw Data'!$G:$G,'Raw Data'!AK:AK),"")</f>
        <v/>
      </c>
      <c r="AA327" s="130" t="str">
        <f>IFERROR(_xlfn.XLOOKUP($A327,'Raw Data'!$G:$G,'Raw Data'!AL:AL),"")</f>
        <v/>
      </c>
      <c r="AB327" s="130" t="str">
        <f>IFERROR(_xlfn.XLOOKUP($A327,'Raw Data'!$G:$G,'Raw Data'!H:H),"")</f>
        <v/>
      </c>
      <c r="AC327" s="76">
        <f>IFERROR(_xlfn.XLOOKUP($D327,'Modelling New'!$D:$D,'Modelling New'!P:P),"")</f>
        <v>6.5714285714285712</v>
      </c>
      <c r="AD327" s="130">
        <f>IFERROR(_xlfn.XLOOKUP($D327,'Modelling New'!$D:$D,'Modelling New'!$T:$T)*1000,"")</f>
        <v>33989.340219935533</v>
      </c>
      <c r="AE327" s="138">
        <f>IFERROR(_xlfn.XLOOKUP($D327,'Modelling New'!$D:$D,'Modelling New'!O:O),"")</f>
        <v>0.64485168784471436</v>
      </c>
      <c r="AF327" s="137">
        <f>IFERROR(_xlfn.XLOOKUP($D327,'Modelling New'!$D:$D,'Modelling New'!W:W),"")</f>
        <v>0.17656653357652891</v>
      </c>
      <c r="AG327" s="137">
        <f>IFERROR(_xlfn.XLOOKUP($D327,'Modelling New'!$D:$D,'Modelling New'!AE:AE),"")</f>
        <v>0.98040000000000005</v>
      </c>
      <c r="AH327" s="156">
        <f>IFERROR(_xlfn.XLOOKUP($D327,'Modelling New'!$D:$D,'Modelling New'!AF:AF),"")</f>
        <v>0.98</v>
      </c>
      <c r="AN327" s="134"/>
      <c r="AO327" s="137"/>
      <c r="AP327" s="137"/>
      <c r="AQ327" s="137"/>
      <c r="AR327" s="130">
        <f>'Basic Data'!$B$98/1000</f>
        <v>8.0208999999999993</v>
      </c>
    </row>
    <row r="328" spans="1:44" x14ac:dyDescent="0.3">
      <c r="A328" s="129">
        <f t="shared" si="23"/>
        <v>46071</v>
      </c>
      <c r="B328" s="130">
        <f>YEAR(Table13[[#This Row],[Date]])+IF(MONTH(Table13[[#This Row],[Date]])&gt;=4,1,0)</f>
        <v>2026</v>
      </c>
      <c r="C328" s="7">
        <f>YEAR(Table13[[#This Row],[Date]])</f>
        <v>2026</v>
      </c>
      <c r="D328" s="131">
        <f>Table13[[#This Row],[Date]]-DAY(Table13[[#This Row],[Date]])+1</f>
        <v>46054</v>
      </c>
      <c r="E328" s="7">
        <f t="shared" si="20"/>
        <v>28</v>
      </c>
      <c r="F328" s="132" t="str">
        <f>IFERROR(_xlfn.XLOOKUP($A328,'Raw Data'!$G:$G,'Raw Data'!$AM:$AM),"")</f>
        <v/>
      </c>
      <c r="G328" s="133" t="str">
        <f>IFERROR(_xlfn.XLOOKUP($A328,'Raw Data'!$G:$G,'Raw Data'!$AB:$AB),"")</f>
        <v/>
      </c>
      <c r="H328" s="133"/>
      <c r="I328" s="133" t="str">
        <f>IFERROR(_xlfn.XLOOKUP($A328,'Raw Data'!$G:$G,'Raw Data'!$AC:$AC),"")</f>
        <v/>
      </c>
      <c r="J328" s="133"/>
      <c r="K328" s="133" t="str">
        <f>IFERROR(_xlfn.XLOOKUP($A328,'Raw Data'!$G:$G,'Raw Data'!AD:AD),"")</f>
        <v/>
      </c>
      <c r="L328" s="133" t="str">
        <f>IFERROR(_xlfn.XLOOKUP($A328,'Raw Data'!$G:$G,'Raw Data'!AE:AE),"")</f>
        <v/>
      </c>
      <c r="M328" s="133" t="str">
        <f>IFERROR(_xlfn.XLOOKUP($A328,'Raw Data'!$G:$G,'Raw Data'!AF:AF),"")</f>
        <v/>
      </c>
      <c r="N328" s="133" t="str">
        <f>IFERROR(_xlfn.XLOOKUP($A328,'Raw Data'!$G:$G,'Raw Data'!AG:AG),"")</f>
        <v/>
      </c>
      <c r="O328" s="134" t="str">
        <f>IFERROR(1-SUMIF('Plant BD'!$H:$H,$A328,'Plant BD'!$AE:$AE)/($AA328+SUMIF('Plant BD'!$H:$H,$A328,'Plant BD'!$AE:$AE)),"")</f>
        <v/>
      </c>
      <c r="P328" s="134"/>
      <c r="Q328" s="135"/>
      <c r="R328" s="134" t="str">
        <f>IFERROR(1-SUMIF('Grid BD'!$H:$H,$A328,'Grid BD'!$AD:$AD)/($AA328+SUMIF('Grid BD'!$H:$H,$A328,'Grid BD'!$AD:$AD)),"")</f>
        <v/>
      </c>
      <c r="T328" s="135"/>
      <c r="U328" s="136" t="str">
        <f t="shared" si="21"/>
        <v/>
      </c>
      <c r="V328" s="136"/>
      <c r="W328" s="137" t="str">
        <f t="shared" si="22"/>
        <v/>
      </c>
      <c r="X328" s="130" t="str">
        <f>IFERROR(_xlfn.XLOOKUP($A328,'Raw Data'!$G:$G,'Raw Data'!AI:AI),"")</f>
        <v/>
      </c>
      <c r="Y328" s="130" t="str">
        <f>IFERROR(_xlfn.XLOOKUP($A328,'Raw Data'!$G:$G,'Raw Data'!AJ:AJ),"")</f>
        <v/>
      </c>
      <c r="Z328" s="130" t="str">
        <f>IFERROR(_xlfn.XLOOKUP($A328,'Raw Data'!$G:$G,'Raw Data'!AK:AK),"")</f>
        <v/>
      </c>
      <c r="AA328" s="130" t="str">
        <f>IFERROR(_xlfn.XLOOKUP($A328,'Raw Data'!$G:$G,'Raw Data'!AL:AL),"")</f>
        <v/>
      </c>
      <c r="AB328" s="130" t="str">
        <f>IFERROR(_xlfn.XLOOKUP($A328,'Raw Data'!$G:$G,'Raw Data'!H:H),"")</f>
        <v/>
      </c>
      <c r="AC328" s="76">
        <f>IFERROR(_xlfn.XLOOKUP($D328,'Modelling New'!$D:$D,'Modelling New'!P:P),"")</f>
        <v>6.5714285714285712</v>
      </c>
      <c r="AD328" s="130">
        <f>IFERROR(_xlfn.XLOOKUP($D328,'Modelling New'!$D:$D,'Modelling New'!$T:$T)*1000,"")</f>
        <v>33989.340219935533</v>
      </c>
      <c r="AE328" s="138">
        <f>IFERROR(_xlfn.XLOOKUP($D328,'Modelling New'!$D:$D,'Modelling New'!O:O),"")</f>
        <v>0.64485168784471436</v>
      </c>
      <c r="AF328" s="137">
        <f>IFERROR(_xlfn.XLOOKUP($D328,'Modelling New'!$D:$D,'Modelling New'!W:W),"")</f>
        <v>0.17656653357652891</v>
      </c>
      <c r="AG328" s="137">
        <f>IFERROR(_xlfn.XLOOKUP($D328,'Modelling New'!$D:$D,'Modelling New'!AE:AE),"")</f>
        <v>0.98040000000000005</v>
      </c>
      <c r="AH328" s="156">
        <f>IFERROR(_xlfn.XLOOKUP($D328,'Modelling New'!$D:$D,'Modelling New'!AF:AF),"")</f>
        <v>0.98</v>
      </c>
      <c r="AN328" s="134"/>
      <c r="AO328" s="137"/>
      <c r="AP328" s="137"/>
      <c r="AQ328" s="137"/>
      <c r="AR328" s="130">
        <f>'Basic Data'!$B$98/1000</f>
        <v>8.0208999999999993</v>
      </c>
    </row>
    <row r="329" spans="1:44" x14ac:dyDescent="0.3">
      <c r="A329" s="129">
        <f t="shared" si="23"/>
        <v>46072</v>
      </c>
      <c r="B329" s="130">
        <f>YEAR(Table13[[#This Row],[Date]])+IF(MONTH(Table13[[#This Row],[Date]])&gt;=4,1,0)</f>
        <v>2026</v>
      </c>
      <c r="C329" s="7">
        <f>YEAR(Table13[[#This Row],[Date]])</f>
        <v>2026</v>
      </c>
      <c r="D329" s="131">
        <f>Table13[[#This Row],[Date]]-DAY(Table13[[#This Row],[Date]])+1</f>
        <v>46054</v>
      </c>
      <c r="E329" s="7">
        <f t="shared" si="20"/>
        <v>28</v>
      </c>
      <c r="F329" s="132" t="str">
        <f>IFERROR(_xlfn.XLOOKUP($A329,'Raw Data'!$G:$G,'Raw Data'!$AM:$AM),"")</f>
        <v/>
      </c>
      <c r="G329" s="133" t="str">
        <f>IFERROR(_xlfn.XLOOKUP($A329,'Raw Data'!$G:$G,'Raw Data'!$AB:$AB),"")</f>
        <v/>
      </c>
      <c r="H329" s="133"/>
      <c r="I329" s="133" t="str">
        <f>IFERROR(_xlfn.XLOOKUP($A329,'Raw Data'!$G:$G,'Raw Data'!$AC:$AC),"")</f>
        <v/>
      </c>
      <c r="J329" s="133"/>
      <c r="K329" s="133" t="str">
        <f>IFERROR(_xlfn.XLOOKUP($A329,'Raw Data'!$G:$G,'Raw Data'!AD:AD),"")</f>
        <v/>
      </c>
      <c r="L329" s="133" t="str">
        <f>IFERROR(_xlfn.XLOOKUP($A329,'Raw Data'!$G:$G,'Raw Data'!AE:AE),"")</f>
        <v/>
      </c>
      <c r="M329" s="133" t="str">
        <f>IFERROR(_xlfn.XLOOKUP($A329,'Raw Data'!$G:$G,'Raw Data'!AF:AF),"")</f>
        <v/>
      </c>
      <c r="N329" s="133" t="str">
        <f>IFERROR(_xlfn.XLOOKUP($A329,'Raw Data'!$G:$G,'Raw Data'!AG:AG),"")</f>
        <v/>
      </c>
      <c r="O329" s="134" t="str">
        <f>IFERROR(1-SUMIF('Plant BD'!$H:$H,$A329,'Plant BD'!$AE:$AE)/($AA329+SUMIF('Plant BD'!$H:$H,$A329,'Plant BD'!$AE:$AE)),"")</f>
        <v/>
      </c>
      <c r="P329" s="134"/>
      <c r="Q329" s="135"/>
      <c r="R329" s="134" t="str">
        <f>IFERROR(1-SUMIF('Grid BD'!$H:$H,$A329,'Grid BD'!$AD:$AD)/($AA329+SUMIF('Grid BD'!$H:$H,$A329,'Grid BD'!$AD:$AD)),"")</f>
        <v/>
      </c>
      <c r="T329" s="135"/>
      <c r="U329" s="136" t="str">
        <f t="shared" si="21"/>
        <v/>
      </c>
      <c r="V329" s="136"/>
      <c r="W329" s="137" t="str">
        <f t="shared" si="22"/>
        <v/>
      </c>
      <c r="X329" s="130" t="str">
        <f>IFERROR(_xlfn.XLOOKUP($A329,'Raw Data'!$G:$G,'Raw Data'!AI:AI),"")</f>
        <v/>
      </c>
      <c r="Y329" s="130" t="str">
        <f>IFERROR(_xlfn.XLOOKUP($A329,'Raw Data'!$G:$G,'Raw Data'!AJ:AJ),"")</f>
        <v/>
      </c>
      <c r="Z329" s="130" t="str">
        <f>IFERROR(_xlfn.XLOOKUP($A329,'Raw Data'!$G:$G,'Raw Data'!AK:AK),"")</f>
        <v/>
      </c>
      <c r="AA329" s="130" t="str">
        <f>IFERROR(_xlfn.XLOOKUP($A329,'Raw Data'!$G:$G,'Raw Data'!AL:AL),"")</f>
        <v/>
      </c>
      <c r="AB329" s="130" t="str">
        <f>IFERROR(_xlfn.XLOOKUP($A329,'Raw Data'!$G:$G,'Raw Data'!H:H),"")</f>
        <v/>
      </c>
      <c r="AC329" s="76">
        <f>IFERROR(_xlfn.XLOOKUP($D329,'Modelling New'!$D:$D,'Modelling New'!P:P),"")</f>
        <v>6.5714285714285712</v>
      </c>
      <c r="AD329" s="130">
        <f>IFERROR(_xlfn.XLOOKUP($D329,'Modelling New'!$D:$D,'Modelling New'!$T:$T)*1000,"")</f>
        <v>33989.340219935533</v>
      </c>
      <c r="AE329" s="138">
        <f>IFERROR(_xlfn.XLOOKUP($D329,'Modelling New'!$D:$D,'Modelling New'!O:O),"")</f>
        <v>0.64485168784471436</v>
      </c>
      <c r="AF329" s="137">
        <f>IFERROR(_xlfn.XLOOKUP($D329,'Modelling New'!$D:$D,'Modelling New'!W:W),"")</f>
        <v>0.17656653357652891</v>
      </c>
      <c r="AG329" s="137">
        <f>IFERROR(_xlfn.XLOOKUP($D329,'Modelling New'!$D:$D,'Modelling New'!AE:AE),"")</f>
        <v>0.98040000000000005</v>
      </c>
      <c r="AH329" s="156">
        <f>IFERROR(_xlfn.XLOOKUP($D329,'Modelling New'!$D:$D,'Modelling New'!AF:AF),"")</f>
        <v>0.98</v>
      </c>
      <c r="AN329" s="134"/>
      <c r="AO329" s="137"/>
      <c r="AP329" s="137"/>
      <c r="AQ329" s="137"/>
      <c r="AR329" s="130">
        <f>'Basic Data'!$B$98/1000</f>
        <v>8.0208999999999993</v>
      </c>
    </row>
    <row r="330" spans="1:44" x14ac:dyDescent="0.3">
      <c r="A330" s="129">
        <f t="shared" si="23"/>
        <v>46073</v>
      </c>
      <c r="B330" s="130">
        <f>YEAR(Table13[[#This Row],[Date]])+IF(MONTH(Table13[[#This Row],[Date]])&gt;=4,1,0)</f>
        <v>2026</v>
      </c>
      <c r="C330" s="7">
        <f>YEAR(Table13[[#This Row],[Date]])</f>
        <v>2026</v>
      </c>
      <c r="D330" s="131">
        <f>Table13[[#This Row],[Date]]-DAY(Table13[[#This Row],[Date]])+1</f>
        <v>46054</v>
      </c>
      <c r="E330" s="7">
        <f t="shared" si="20"/>
        <v>28</v>
      </c>
      <c r="F330" s="132" t="str">
        <f>IFERROR(_xlfn.XLOOKUP($A330,'Raw Data'!$G:$G,'Raw Data'!$AM:$AM),"")</f>
        <v/>
      </c>
      <c r="G330" s="133" t="str">
        <f>IFERROR(_xlfn.XLOOKUP($A330,'Raw Data'!$G:$G,'Raw Data'!$AB:$AB),"")</f>
        <v/>
      </c>
      <c r="H330" s="133"/>
      <c r="I330" s="133" t="str">
        <f>IFERROR(_xlfn.XLOOKUP($A330,'Raw Data'!$G:$G,'Raw Data'!$AC:$AC),"")</f>
        <v/>
      </c>
      <c r="J330" s="133"/>
      <c r="K330" s="133" t="str">
        <f>IFERROR(_xlfn.XLOOKUP($A330,'Raw Data'!$G:$G,'Raw Data'!AD:AD),"")</f>
        <v/>
      </c>
      <c r="L330" s="133" t="str">
        <f>IFERROR(_xlfn.XLOOKUP($A330,'Raw Data'!$G:$G,'Raw Data'!AE:AE),"")</f>
        <v/>
      </c>
      <c r="M330" s="133" t="str">
        <f>IFERROR(_xlfn.XLOOKUP($A330,'Raw Data'!$G:$G,'Raw Data'!AF:AF),"")</f>
        <v/>
      </c>
      <c r="N330" s="133" t="str">
        <f>IFERROR(_xlfn.XLOOKUP($A330,'Raw Data'!$G:$G,'Raw Data'!AG:AG),"")</f>
        <v/>
      </c>
      <c r="O330" s="134" t="str">
        <f>IFERROR(1-SUMIF('Plant BD'!$H:$H,$A330,'Plant BD'!$AE:$AE)/($AA330+SUMIF('Plant BD'!$H:$H,$A330,'Plant BD'!$AE:$AE)),"")</f>
        <v/>
      </c>
      <c r="P330" s="134"/>
      <c r="Q330" s="135"/>
      <c r="R330" s="134" t="str">
        <f>IFERROR(1-SUMIF('Grid BD'!$H:$H,$A330,'Grid BD'!$AD:$AD)/($AA330+SUMIF('Grid BD'!$H:$H,$A330,'Grid BD'!$AD:$AD)),"")</f>
        <v/>
      </c>
      <c r="T330" s="135"/>
      <c r="U330" s="136" t="str">
        <f t="shared" si="21"/>
        <v/>
      </c>
      <c r="V330" s="136"/>
      <c r="W330" s="137" t="str">
        <f t="shared" si="22"/>
        <v/>
      </c>
      <c r="X330" s="130" t="str">
        <f>IFERROR(_xlfn.XLOOKUP($A330,'Raw Data'!$G:$G,'Raw Data'!AI:AI),"")</f>
        <v/>
      </c>
      <c r="Y330" s="130" t="str">
        <f>IFERROR(_xlfn.XLOOKUP($A330,'Raw Data'!$G:$G,'Raw Data'!AJ:AJ),"")</f>
        <v/>
      </c>
      <c r="Z330" s="130" t="str">
        <f>IFERROR(_xlfn.XLOOKUP($A330,'Raw Data'!$G:$G,'Raw Data'!AK:AK),"")</f>
        <v/>
      </c>
      <c r="AA330" s="130" t="str">
        <f>IFERROR(_xlfn.XLOOKUP($A330,'Raw Data'!$G:$G,'Raw Data'!AL:AL),"")</f>
        <v/>
      </c>
      <c r="AB330" s="130" t="str">
        <f>IFERROR(_xlfn.XLOOKUP($A330,'Raw Data'!$G:$G,'Raw Data'!H:H),"")</f>
        <v/>
      </c>
      <c r="AC330" s="76">
        <f>IFERROR(_xlfn.XLOOKUP($D330,'Modelling New'!$D:$D,'Modelling New'!P:P),"")</f>
        <v>6.5714285714285712</v>
      </c>
      <c r="AD330" s="130">
        <f>IFERROR(_xlfn.XLOOKUP($D330,'Modelling New'!$D:$D,'Modelling New'!$T:$T)*1000,"")</f>
        <v>33989.340219935533</v>
      </c>
      <c r="AE330" s="138">
        <f>IFERROR(_xlfn.XLOOKUP($D330,'Modelling New'!$D:$D,'Modelling New'!O:O),"")</f>
        <v>0.64485168784471436</v>
      </c>
      <c r="AF330" s="137">
        <f>IFERROR(_xlfn.XLOOKUP($D330,'Modelling New'!$D:$D,'Modelling New'!W:W),"")</f>
        <v>0.17656653357652891</v>
      </c>
      <c r="AG330" s="137">
        <f>IFERROR(_xlfn.XLOOKUP($D330,'Modelling New'!$D:$D,'Modelling New'!AE:AE),"")</f>
        <v>0.98040000000000005</v>
      </c>
      <c r="AH330" s="156">
        <f>IFERROR(_xlfn.XLOOKUP($D330,'Modelling New'!$D:$D,'Modelling New'!AF:AF),"")</f>
        <v>0.98</v>
      </c>
      <c r="AN330" s="134"/>
      <c r="AO330" s="137"/>
      <c r="AP330" s="137"/>
      <c r="AQ330" s="137"/>
      <c r="AR330" s="130">
        <f>'Basic Data'!$B$98/1000</f>
        <v>8.0208999999999993</v>
      </c>
    </row>
    <row r="331" spans="1:44" x14ac:dyDescent="0.3">
      <c r="A331" s="129">
        <f t="shared" si="23"/>
        <v>46074</v>
      </c>
      <c r="B331" s="130">
        <f>YEAR(Table13[[#This Row],[Date]])+IF(MONTH(Table13[[#This Row],[Date]])&gt;=4,1,0)</f>
        <v>2026</v>
      </c>
      <c r="C331" s="7">
        <f>YEAR(Table13[[#This Row],[Date]])</f>
        <v>2026</v>
      </c>
      <c r="D331" s="131">
        <f>Table13[[#This Row],[Date]]-DAY(Table13[[#This Row],[Date]])+1</f>
        <v>46054</v>
      </c>
      <c r="E331" s="7">
        <f t="shared" si="20"/>
        <v>28</v>
      </c>
      <c r="F331" s="132" t="str">
        <f>IFERROR(_xlfn.XLOOKUP($A331,'Raw Data'!$G:$G,'Raw Data'!$AM:$AM),"")</f>
        <v/>
      </c>
      <c r="G331" s="133" t="str">
        <f>IFERROR(_xlfn.XLOOKUP($A331,'Raw Data'!$G:$G,'Raw Data'!$AB:$AB),"")</f>
        <v/>
      </c>
      <c r="H331" s="133"/>
      <c r="I331" s="133" t="str">
        <f>IFERROR(_xlfn.XLOOKUP($A331,'Raw Data'!$G:$G,'Raw Data'!$AC:$AC),"")</f>
        <v/>
      </c>
      <c r="J331" s="133"/>
      <c r="K331" s="133" t="str">
        <f>IFERROR(_xlfn.XLOOKUP($A331,'Raw Data'!$G:$G,'Raw Data'!AD:AD),"")</f>
        <v/>
      </c>
      <c r="L331" s="133" t="str">
        <f>IFERROR(_xlfn.XLOOKUP($A331,'Raw Data'!$G:$G,'Raw Data'!AE:AE),"")</f>
        <v/>
      </c>
      <c r="M331" s="133" t="str">
        <f>IFERROR(_xlfn.XLOOKUP($A331,'Raw Data'!$G:$G,'Raw Data'!AF:AF),"")</f>
        <v/>
      </c>
      <c r="N331" s="133" t="str">
        <f>IFERROR(_xlfn.XLOOKUP($A331,'Raw Data'!$G:$G,'Raw Data'!AG:AG),"")</f>
        <v/>
      </c>
      <c r="O331" s="134" t="str">
        <f>IFERROR(1-SUMIF('Plant BD'!$H:$H,$A331,'Plant BD'!$AE:$AE)/($AA331+SUMIF('Plant BD'!$H:$H,$A331,'Plant BD'!$AE:$AE)),"")</f>
        <v/>
      </c>
      <c r="P331" s="134"/>
      <c r="Q331" s="135"/>
      <c r="R331" s="134" t="str">
        <f>IFERROR(1-SUMIF('Grid BD'!$H:$H,$A331,'Grid BD'!$AD:$AD)/($AA331+SUMIF('Grid BD'!$H:$H,$A331,'Grid BD'!$AD:$AD)),"")</f>
        <v/>
      </c>
      <c r="T331" s="135"/>
      <c r="U331" s="136" t="str">
        <f t="shared" si="21"/>
        <v/>
      </c>
      <c r="V331" s="136"/>
      <c r="W331" s="137" t="str">
        <f t="shared" si="22"/>
        <v/>
      </c>
      <c r="X331" s="130" t="str">
        <f>IFERROR(_xlfn.XLOOKUP($A331,'Raw Data'!$G:$G,'Raw Data'!AI:AI),"")</f>
        <v/>
      </c>
      <c r="Y331" s="130" t="str">
        <f>IFERROR(_xlfn.XLOOKUP($A331,'Raw Data'!$G:$G,'Raw Data'!AJ:AJ),"")</f>
        <v/>
      </c>
      <c r="Z331" s="130" t="str">
        <f>IFERROR(_xlfn.XLOOKUP($A331,'Raw Data'!$G:$G,'Raw Data'!AK:AK),"")</f>
        <v/>
      </c>
      <c r="AA331" s="130" t="str">
        <f>IFERROR(_xlfn.XLOOKUP($A331,'Raw Data'!$G:$G,'Raw Data'!AL:AL),"")</f>
        <v/>
      </c>
      <c r="AB331" s="130" t="str">
        <f>IFERROR(_xlfn.XLOOKUP($A331,'Raw Data'!$G:$G,'Raw Data'!H:H),"")</f>
        <v/>
      </c>
      <c r="AC331" s="76">
        <f>IFERROR(_xlfn.XLOOKUP($D331,'Modelling New'!$D:$D,'Modelling New'!P:P),"")</f>
        <v>6.5714285714285712</v>
      </c>
      <c r="AD331" s="130">
        <f>IFERROR(_xlfn.XLOOKUP($D331,'Modelling New'!$D:$D,'Modelling New'!$T:$T)*1000,"")</f>
        <v>33989.340219935533</v>
      </c>
      <c r="AE331" s="138">
        <f>IFERROR(_xlfn.XLOOKUP($D331,'Modelling New'!$D:$D,'Modelling New'!O:O),"")</f>
        <v>0.64485168784471436</v>
      </c>
      <c r="AF331" s="137">
        <f>IFERROR(_xlfn.XLOOKUP($D331,'Modelling New'!$D:$D,'Modelling New'!W:W),"")</f>
        <v>0.17656653357652891</v>
      </c>
      <c r="AG331" s="137">
        <f>IFERROR(_xlfn.XLOOKUP($D331,'Modelling New'!$D:$D,'Modelling New'!AE:AE),"")</f>
        <v>0.98040000000000005</v>
      </c>
      <c r="AH331" s="156">
        <f>IFERROR(_xlfn.XLOOKUP($D331,'Modelling New'!$D:$D,'Modelling New'!AF:AF),"")</f>
        <v>0.98</v>
      </c>
      <c r="AN331" s="134"/>
      <c r="AO331" s="137"/>
      <c r="AP331" s="137"/>
      <c r="AQ331" s="137"/>
      <c r="AR331" s="130">
        <f>'Basic Data'!$B$98/1000</f>
        <v>8.0208999999999993</v>
      </c>
    </row>
    <row r="332" spans="1:44" x14ac:dyDescent="0.3">
      <c r="A332" s="129">
        <f t="shared" si="23"/>
        <v>46075</v>
      </c>
      <c r="B332" s="130">
        <f>YEAR(Table13[[#This Row],[Date]])+IF(MONTH(Table13[[#This Row],[Date]])&gt;=4,1,0)</f>
        <v>2026</v>
      </c>
      <c r="C332" s="7">
        <f>YEAR(Table13[[#This Row],[Date]])</f>
        <v>2026</v>
      </c>
      <c r="D332" s="131">
        <f>Table13[[#This Row],[Date]]-DAY(Table13[[#This Row],[Date]])+1</f>
        <v>46054</v>
      </c>
      <c r="E332" s="7">
        <f t="shared" si="20"/>
        <v>28</v>
      </c>
      <c r="F332" s="132" t="str">
        <f>IFERROR(_xlfn.XLOOKUP($A332,'Raw Data'!$G:$G,'Raw Data'!$AM:$AM),"")</f>
        <v/>
      </c>
      <c r="G332" s="133" t="str">
        <f>IFERROR(_xlfn.XLOOKUP($A332,'Raw Data'!$G:$G,'Raw Data'!$AB:$AB),"")</f>
        <v/>
      </c>
      <c r="H332" s="133"/>
      <c r="I332" s="133" t="str">
        <f>IFERROR(_xlfn.XLOOKUP($A332,'Raw Data'!$G:$G,'Raw Data'!$AC:$AC),"")</f>
        <v/>
      </c>
      <c r="J332" s="133"/>
      <c r="K332" s="133" t="str">
        <f>IFERROR(_xlfn.XLOOKUP($A332,'Raw Data'!$G:$G,'Raw Data'!AD:AD),"")</f>
        <v/>
      </c>
      <c r="L332" s="133" t="str">
        <f>IFERROR(_xlfn.XLOOKUP($A332,'Raw Data'!$G:$G,'Raw Data'!AE:AE),"")</f>
        <v/>
      </c>
      <c r="M332" s="133" t="str">
        <f>IFERROR(_xlfn.XLOOKUP($A332,'Raw Data'!$G:$G,'Raw Data'!AF:AF),"")</f>
        <v/>
      </c>
      <c r="N332" s="133" t="str">
        <f>IFERROR(_xlfn.XLOOKUP($A332,'Raw Data'!$G:$G,'Raw Data'!AG:AG),"")</f>
        <v/>
      </c>
      <c r="O332" s="134" t="str">
        <f>IFERROR(1-SUMIF('Plant BD'!$H:$H,$A332,'Plant BD'!$AE:$AE)/($AA332+SUMIF('Plant BD'!$H:$H,$A332,'Plant BD'!$AE:$AE)),"")</f>
        <v/>
      </c>
      <c r="P332" s="134"/>
      <c r="Q332" s="135"/>
      <c r="R332" s="134" t="str">
        <f>IFERROR(1-SUMIF('Grid BD'!$H:$H,$A332,'Grid BD'!$AD:$AD)/($AA332+SUMIF('Grid BD'!$H:$H,$A332,'Grid BD'!$AD:$AD)),"")</f>
        <v/>
      </c>
      <c r="T332" s="135"/>
      <c r="U332" s="136" t="str">
        <f t="shared" si="21"/>
        <v/>
      </c>
      <c r="V332" s="136"/>
      <c r="W332" s="137" t="str">
        <f t="shared" si="22"/>
        <v/>
      </c>
      <c r="X332" s="130" t="str">
        <f>IFERROR(_xlfn.XLOOKUP($A332,'Raw Data'!$G:$G,'Raw Data'!AI:AI),"")</f>
        <v/>
      </c>
      <c r="Y332" s="130" t="str">
        <f>IFERROR(_xlfn.XLOOKUP($A332,'Raw Data'!$G:$G,'Raw Data'!AJ:AJ),"")</f>
        <v/>
      </c>
      <c r="Z332" s="130" t="str">
        <f>IFERROR(_xlfn.XLOOKUP($A332,'Raw Data'!$G:$G,'Raw Data'!AK:AK),"")</f>
        <v/>
      </c>
      <c r="AA332" s="130" t="str">
        <f>IFERROR(_xlfn.XLOOKUP($A332,'Raw Data'!$G:$G,'Raw Data'!AL:AL),"")</f>
        <v/>
      </c>
      <c r="AB332" s="130" t="str">
        <f>IFERROR(_xlfn.XLOOKUP($A332,'Raw Data'!$G:$G,'Raw Data'!H:H),"")</f>
        <v/>
      </c>
      <c r="AC332" s="76">
        <f>IFERROR(_xlfn.XLOOKUP($D332,'Modelling New'!$D:$D,'Modelling New'!P:P),"")</f>
        <v>6.5714285714285712</v>
      </c>
      <c r="AD332" s="130">
        <f>IFERROR(_xlfn.XLOOKUP($D332,'Modelling New'!$D:$D,'Modelling New'!$T:$T)*1000,"")</f>
        <v>33989.340219935533</v>
      </c>
      <c r="AE332" s="138">
        <f>IFERROR(_xlfn.XLOOKUP($D332,'Modelling New'!$D:$D,'Modelling New'!O:O),"")</f>
        <v>0.64485168784471436</v>
      </c>
      <c r="AF332" s="137">
        <f>IFERROR(_xlfn.XLOOKUP($D332,'Modelling New'!$D:$D,'Modelling New'!W:W),"")</f>
        <v>0.17656653357652891</v>
      </c>
      <c r="AG332" s="137">
        <f>IFERROR(_xlfn.XLOOKUP($D332,'Modelling New'!$D:$D,'Modelling New'!AE:AE),"")</f>
        <v>0.98040000000000005</v>
      </c>
      <c r="AH332" s="156">
        <f>IFERROR(_xlfn.XLOOKUP($D332,'Modelling New'!$D:$D,'Modelling New'!AF:AF),"")</f>
        <v>0.98</v>
      </c>
      <c r="AN332" s="134"/>
      <c r="AO332" s="137"/>
      <c r="AP332" s="137"/>
      <c r="AQ332" s="137"/>
      <c r="AR332" s="130">
        <f>'Basic Data'!$B$98/1000</f>
        <v>8.0208999999999993</v>
      </c>
    </row>
    <row r="333" spans="1:44" x14ac:dyDescent="0.3">
      <c r="A333" s="129">
        <f t="shared" si="23"/>
        <v>46076</v>
      </c>
      <c r="B333" s="130">
        <f>YEAR(Table13[[#This Row],[Date]])+IF(MONTH(Table13[[#This Row],[Date]])&gt;=4,1,0)</f>
        <v>2026</v>
      </c>
      <c r="C333" s="7">
        <f>YEAR(Table13[[#This Row],[Date]])</f>
        <v>2026</v>
      </c>
      <c r="D333" s="131">
        <f>Table13[[#This Row],[Date]]-DAY(Table13[[#This Row],[Date]])+1</f>
        <v>46054</v>
      </c>
      <c r="E333" s="7">
        <f t="shared" si="20"/>
        <v>28</v>
      </c>
      <c r="F333" s="132" t="str">
        <f>IFERROR(_xlfn.XLOOKUP($A333,'Raw Data'!$G:$G,'Raw Data'!$AM:$AM),"")</f>
        <v/>
      </c>
      <c r="G333" s="133" t="str">
        <f>IFERROR(_xlfn.XLOOKUP($A333,'Raw Data'!$G:$G,'Raw Data'!$AB:$AB),"")</f>
        <v/>
      </c>
      <c r="H333" s="133"/>
      <c r="I333" s="133" t="str">
        <f>IFERROR(_xlfn.XLOOKUP($A333,'Raw Data'!$G:$G,'Raw Data'!$AC:$AC),"")</f>
        <v/>
      </c>
      <c r="J333" s="133"/>
      <c r="K333" s="133" t="str">
        <f>IFERROR(_xlfn.XLOOKUP($A333,'Raw Data'!$G:$G,'Raw Data'!AD:AD),"")</f>
        <v/>
      </c>
      <c r="L333" s="133" t="str">
        <f>IFERROR(_xlfn.XLOOKUP($A333,'Raw Data'!$G:$G,'Raw Data'!AE:AE),"")</f>
        <v/>
      </c>
      <c r="M333" s="133" t="str">
        <f>IFERROR(_xlfn.XLOOKUP($A333,'Raw Data'!$G:$G,'Raw Data'!AF:AF),"")</f>
        <v/>
      </c>
      <c r="N333" s="133" t="str">
        <f>IFERROR(_xlfn.XLOOKUP($A333,'Raw Data'!$G:$G,'Raw Data'!AG:AG),"")</f>
        <v/>
      </c>
      <c r="O333" s="134" t="str">
        <f>IFERROR(1-SUMIF('Plant BD'!$H:$H,$A333,'Plant BD'!$AE:$AE)/($AA333+SUMIF('Plant BD'!$H:$H,$A333,'Plant BD'!$AE:$AE)),"")</f>
        <v/>
      </c>
      <c r="P333" s="134"/>
      <c r="Q333" s="135"/>
      <c r="R333" s="134" t="str">
        <f>IFERROR(1-SUMIF('Grid BD'!$H:$H,$A333,'Grid BD'!$AD:$AD)/($AA333+SUMIF('Grid BD'!$H:$H,$A333,'Grid BD'!$AD:$AD)),"")</f>
        <v/>
      </c>
      <c r="T333" s="135"/>
      <c r="U333" s="136" t="str">
        <f t="shared" si="21"/>
        <v/>
      </c>
      <c r="V333" s="136"/>
      <c r="W333" s="137" t="str">
        <f t="shared" si="22"/>
        <v/>
      </c>
      <c r="X333" s="130" t="str">
        <f>IFERROR(_xlfn.XLOOKUP($A333,'Raw Data'!$G:$G,'Raw Data'!AI:AI),"")</f>
        <v/>
      </c>
      <c r="Y333" s="130" t="str">
        <f>IFERROR(_xlfn.XLOOKUP($A333,'Raw Data'!$G:$G,'Raw Data'!AJ:AJ),"")</f>
        <v/>
      </c>
      <c r="Z333" s="130" t="str">
        <f>IFERROR(_xlfn.XLOOKUP($A333,'Raw Data'!$G:$G,'Raw Data'!AK:AK),"")</f>
        <v/>
      </c>
      <c r="AA333" s="130" t="str">
        <f>IFERROR(_xlfn.XLOOKUP($A333,'Raw Data'!$G:$G,'Raw Data'!AL:AL),"")</f>
        <v/>
      </c>
      <c r="AB333" s="130" t="str">
        <f>IFERROR(_xlfn.XLOOKUP($A333,'Raw Data'!$G:$G,'Raw Data'!H:H),"")</f>
        <v/>
      </c>
      <c r="AC333" s="76">
        <f>IFERROR(_xlfn.XLOOKUP($D333,'Modelling New'!$D:$D,'Modelling New'!P:P),"")</f>
        <v>6.5714285714285712</v>
      </c>
      <c r="AD333" s="130">
        <f>IFERROR(_xlfn.XLOOKUP($D333,'Modelling New'!$D:$D,'Modelling New'!$T:$T)*1000,"")</f>
        <v>33989.340219935533</v>
      </c>
      <c r="AE333" s="138">
        <f>IFERROR(_xlfn.XLOOKUP($D333,'Modelling New'!$D:$D,'Modelling New'!O:O),"")</f>
        <v>0.64485168784471436</v>
      </c>
      <c r="AF333" s="137">
        <f>IFERROR(_xlfn.XLOOKUP($D333,'Modelling New'!$D:$D,'Modelling New'!W:W),"")</f>
        <v>0.17656653357652891</v>
      </c>
      <c r="AG333" s="137">
        <f>IFERROR(_xlfn.XLOOKUP($D333,'Modelling New'!$D:$D,'Modelling New'!AE:AE),"")</f>
        <v>0.98040000000000005</v>
      </c>
      <c r="AH333" s="156">
        <f>IFERROR(_xlfn.XLOOKUP($D333,'Modelling New'!$D:$D,'Modelling New'!AF:AF),"")</f>
        <v>0.98</v>
      </c>
      <c r="AN333" s="134"/>
      <c r="AO333" s="137"/>
      <c r="AP333" s="137"/>
      <c r="AQ333" s="137"/>
      <c r="AR333" s="130">
        <f>'Basic Data'!$B$98/1000</f>
        <v>8.0208999999999993</v>
      </c>
    </row>
    <row r="334" spans="1:44" x14ac:dyDescent="0.3">
      <c r="A334" s="129">
        <f t="shared" si="23"/>
        <v>46077</v>
      </c>
      <c r="B334" s="130">
        <f>YEAR(Table13[[#This Row],[Date]])+IF(MONTH(Table13[[#This Row],[Date]])&gt;=4,1,0)</f>
        <v>2026</v>
      </c>
      <c r="C334" s="7">
        <f>YEAR(Table13[[#This Row],[Date]])</f>
        <v>2026</v>
      </c>
      <c r="D334" s="131">
        <f>Table13[[#This Row],[Date]]-DAY(Table13[[#This Row],[Date]])+1</f>
        <v>46054</v>
      </c>
      <c r="E334" s="7">
        <f t="shared" si="20"/>
        <v>28</v>
      </c>
      <c r="F334" s="132" t="str">
        <f>IFERROR(_xlfn.XLOOKUP($A334,'Raw Data'!$G:$G,'Raw Data'!$AM:$AM),"")</f>
        <v/>
      </c>
      <c r="G334" s="133" t="str">
        <f>IFERROR(_xlfn.XLOOKUP($A334,'Raw Data'!$G:$G,'Raw Data'!$AB:$AB),"")</f>
        <v/>
      </c>
      <c r="H334" s="133"/>
      <c r="I334" s="133" t="str">
        <f>IFERROR(_xlfn.XLOOKUP($A334,'Raw Data'!$G:$G,'Raw Data'!$AC:$AC),"")</f>
        <v/>
      </c>
      <c r="J334" s="133"/>
      <c r="K334" s="133" t="str">
        <f>IFERROR(_xlfn.XLOOKUP($A334,'Raw Data'!$G:$G,'Raw Data'!AD:AD),"")</f>
        <v/>
      </c>
      <c r="L334" s="133" t="str">
        <f>IFERROR(_xlfn.XLOOKUP($A334,'Raw Data'!$G:$G,'Raw Data'!AE:AE),"")</f>
        <v/>
      </c>
      <c r="M334" s="133" t="str">
        <f>IFERROR(_xlfn.XLOOKUP($A334,'Raw Data'!$G:$G,'Raw Data'!AF:AF),"")</f>
        <v/>
      </c>
      <c r="N334" s="133" t="str">
        <f>IFERROR(_xlfn.XLOOKUP($A334,'Raw Data'!$G:$G,'Raw Data'!AG:AG),"")</f>
        <v/>
      </c>
      <c r="O334" s="134" t="str">
        <f>IFERROR(1-SUMIF('Plant BD'!$H:$H,$A334,'Plant BD'!$AE:$AE)/($AA334+SUMIF('Plant BD'!$H:$H,$A334,'Plant BD'!$AE:$AE)),"")</f>
        <v/>
      </c>
      <c r="P334" s="134"/>
      <c r="Q334" s="135"/>
      <c r="R334" s="134" t="str">
        <f>IFERROR(1-SUMIF('Grid BD'!$H:$H,$A334,'Grid BD'!$AD:$AD)/($AA334+SUMIF('Grid BD'!$H:$H,$A334,'Grid BD'!$AD:$AD)),"")</f>
        <v/>
      </c>
      <c r="T334" s="135"/>
      <c r="U334" s="136" t="str">
        <f t="shared" si="21"/>
        <v/>
      </c>
      <c r="V334" s="136"/>
      <c r="W334" s="137" t="str">
        <f t="shared" si="22"/>
        <v/>
      </c>
      <c r="X334" s="130" t="str">
        <f>IFERROR(_xlfn.XLOOKUP($A334,'Raw Data'!$G:$G,'Raw Data'!AI:AI),"")</f>
        <v/>
      </c>
      <c r="Y334" s="130" t="str">
        <f>IFERROR(_xlfn.XLOOKUP($A334,'Raw Data'!$G:$G,'Raw Data'!AJ:AJ),"")</f>
        <v/>
      </c>
      <c r="Z334" s="130" t="str">
        <f>IFERROR(_xlfn.XLOOKUP($A334,'Raw Data'!$G:$G,'Raw Data'!AK:AK),"")</f>
        <v/>
      </c>
      <c r="AA334" s="130" t="str">
        <f>IFERROR(_xlfn.XLOOKUP($A334,'Raw Data'!$G:$G,'Raw Data'!AL:AL),"")</f>
        <v/>
      </c>
      <c r="AB334" s="130" t="str">
        <f>IFERROR(_xlfn.XLOOKUP($A334,'Raw Data'!$G:$G,'Raw Data'!H:H),"")</f>
        <v/>
      </c>
      <c r="AC334" s="76">
        <f>IFERROR(_xlfn.XLOOKUP($D334,'Modelling New'!$D:$D,'Modelling New'!P:P),"")</f>
        <v>6.5714285714285712</v>
      </c>
      <c r="AD334" s="130">
        <f>IFERROR(_xlfn.XLOOKUP($D334,'Modelling New'!$D:$D,'Modelling New'!$T:$T)*1000,"")</f>
        <v>33989.340219935533</v>
      </c>
      <c r="AE334" s="138">
        <f>IFERROR(_xlfn.XLOOKUP($D334,'Modelling New'!$D:$D,'Modelling New'!O:O),"")</f>
        <v>0.64485168784471436</v>
      </c>
      <c r="AF334" s="137">
        <f>IFERROR(_xlfn.XLOOKUP($D334,'Modelling New'!$D:$D,'Modelling New'!W:W),"")</f>
        <v>0.17656653357652891</v>
      </c>
      <c r="AG334" s="137">
        <f>IFERROR(_xlfn.XLOOKUP($D334,'Modelling New'!$D:$D,'Modelling New'!AE:AE),"")</f>
        <v>0.98040000000000005</v>
      </c>
      <c r="AH334" s="156">
        <f>IFERROR(_xlfn.XLOOKUP($D334,'Modelling New'!$D:$D,'Modelling New'!AF:AF),"")</f>
        <v>0.98</v>
      </c>
      <c r="AN334" s="134"/>
      <c r="AO334" s="137"/>
      <c r="AP334" s="137"/>
      <c r="AQ334" s="137"/>
      <c r="AR334" s="130">
        <f>'Basic Data'!$B$98/1000</f>
        <v>8.0208999999999993</v>
      </c>
    </row>
    <row r="335" spans="1:44" x14ac:dyDescent="0.3">
      <c r="A335" s="129">
        <f t="shared" si="23"/>
        <v>46078</v>
      </c>
      <c r="B335" s="130">
        <f>YEAR(Table13[[#This Row],[Date]])+IF(MONTH(Table13[[#This Row],[Date]])&gt;=4,1,0)</f>
        <v>2026</v>
      </c>
      <c r="C335" s="7">
        <f>YEAR(Table13[[#This Row],[Date]])</f>
        <v>2026</v>
      </c>
      <c r="D335" s="131">
        <f>Table13[[#This Row],[Date]]-DAY(Table13[[#This Row],[Date]])+1</f>
        <v>46054</v>
      </c>
      <c r="E335" s="7">
        <f t="shared" si="20"/>
        <v>28</v>
      </c>
      <c r="F335" s="132" t="str">
        <f>IFERROR(_xlfn.XLOOKUP($A335,'Raw Data'!$G:$G,'Raw Data'!$AM:$AM),"")</f>
        <v/>
      </c>
      <c r="G335" s="133" t="str">
        <f>IFERROR(_xlfn.XLOOKUP($A335,'Raw Data'!$G:$G,'Raw Data'!$AB:$AB),"")</f>
        <v/>
      </c>
      <c r="H335" s="133"/>
      <c r="I335" s="133" t="str">
        <f>IFERROR(_xlfn.XLOOKUP($A335,'Raw Data'!$G:$G,'Raw Data'!$AC:$AC),"")</f>
        <v/>
      </c>
      <c r="J335" s="133"/>
      <c r="K335" s="133" t="str">
        <f>IFERROR(_xlfn.XLOOKUP($A335,'Raw Data'!$G:$G,'Raw Data'!AD:AD),"")</f>
        <v/>
      </c>
      <c r="L335" s="133" t="str">
        <f>IFERROR(_xlfn.XLOOKUP($A335,'Raw Data'!$G:$G,'Raw Data'!AE:AE),"")</f>
        <v/>
      </c>
      <c r="M335" s="133" t="str">
        <f>IFERROR(_xlfn.XLOOKUP($A335,'Raw Data'!$G:$G,'Raw Data'!AF:AF),"")</f>
        <v/>
      </c>
      <c r="N335" s="133" t="str">
        <f>IFERROR(_xlfn.XLOOKUP($A335,'Raw Data'!$G:$G,'Raw Data'!AG:AG),"")</f>
        <v/>
      </c>
      <c r="O335" s="134" t="str">
        <f>IFERROR(1-SUMIF('Plant BD'!$H:$H,$A335,'Plant BD'!$AE:$AE)/($AA335+SUMIF('Plant BD'!$H:$H,$A335,'Plant BD'!$AE:$AE)),"")</f>
        <v/>
      </c>
      <c r="P335" s="134"/>
      <c r="Q335" s="135"/>
      <c r="R335" s="134" t="str">
        <f>IFERROR(1-SUMIF('Grid BD'!$H:$H,$A335,'Grid BD'!$AD:$AD)/($AA335+SUMIF('Grid BD'!$H:$H,$A335,'Grid BD'!$AD:$AD)),"")</f>
        <v/>
      </c>
      <c r="T335" s="135"/>
      <c r="U335" s="136" t="str">
        <f t="shared" si="21"/>
        <v/>
      </c>
      <c r="V335" s="136"/>
      <c r="W335" s="137" t="str">
        <f t="shared" si="22"/>
        <v/>
      </c>
      <c r="X335" s="130" t="str">
        <f>IFERROR(_xlfn.XLOOKUP($A335,'Raw Data'!$G:$G,'Raw Data'!AI:AI),"")</f>
        <v/>
      </c>
      <c r="Y335" s="130" t="str">
        <f>IFERROR(_xlfn.XLOOKUP($A335,'Raw Data'!$G:$G,'Raw Data'!AJ:AJ),"")</f>
        <v/>
      </c>
      <c r="Z335" s="130" t="str">
        <f>IFERROR(_xlfn.XLOOKUP($A335,'Raw Data'!$G:$G,'Raw Data'!AK:AK),"")</f>
        <v/>
      </c>
      <c r="AA335" s="130" t="str">
        <f>IFERROR(_xlfn.XLOOKUP($A335,'Raw Data'!$G:$G,'Raw Data'!AL:AL),"")</f>
        <v/>
      </c>
      <c r="AB335" s="130" t="str">
        <f>IFERROR(_xlfn.XLOOKUP($A335,'Raw Data'!$G:$G,'Raw Data'!H:H),"")</f>
        <v/>
      </c>
      <c r="AC335" s="76">
        <f>IFERROR(_xlfn.XLOOKUP($D335,'Modelling New'!$D:$D,'Modelling New'!P:P),"")</f>
        <v>6.5714285714285712</v>
      </c>
      <c r="AD335" s="130">
        <f>IFERROR(_xlfn.XLOOKUP($D335,'Modelling New'!$D:$D,'Modelling New'!$T:$T)*1000,"")</f>
        <v>33989.340219935533</v>
      </c>
      <c r="AE335" s="138">
        <f>IFERROR(_xlfn.XLOOKUP($D335,'Modelling New'!$D:$D,'Modelling New'!O:O),"")</f>
        <v>0.64485168784471436</v>
      </c>
      <c r="AF335" s="137">
        <f>IFERROR(_xlfn.XLOOKUP($D335,'Modelling New'!$D:$D,'Modelling New'!W:W),"")</f>
        <v>0.17656653357652891</v>
      </c>
      <c r="AG335" s="137">
        <f>IFERROR(_xlfn.XLOOKUP($D335,'Modelling New'!$D:$D,'Modelling New'!AE:AE),"")</f>
        <v>0.98040000000000005</v>
      </c>
      <c r="AH335" s="156">
        <f>IFERROR(_xlfn.XLOOKUP($D335,'Modelling New'!$D:$D,'Modelling New'!AF:AF),"")</f>
        <v>0.98</v>
      </c>
      <c r="AN335" s="134"/>
      <c r="AO335" s="137"/>
      <c r="AP335" s="137"/>
      <c r="AQ335" s="137"/>
      <c r="AR335" s="130">
        <f>'Basic Data'!$B$98/1000</f>
        <v>8.0208999999999993</v>
      </c>
    </row>
    <row r="336" spans="1:44" x14ac:dyDescent="0.3">
      <c r="A336" s="129">
        <f t="shared" si="23"/>
        <v>46079</v>
      </c>
      <c r="B336" s="130">
        <f>YEAR(Table13[[#This Row],[Date]])+IF(MONTH(Table13[[#This Row],[Date]])&gt;=4,1,0)</f>
        <v>2026</v>
      </c>
      <c r="C336" s="7">
        <f>YEAR(Table13[[#This Row],[Date]])</f>
        <v>2026</v>
      </c>
      <c r="D336" s="131">
        <f>Table13[[#This Row],[Date]]-DAY(Table13[[#This Row],[Date]])+1</f>
        <v>46054</v>
      </c>
      <c r="E336" s="7">
        <f t="shared" si="20"/>
        <v>28</v>
      </c>
      <c r="F336" s="132" t="str">
        <f>IFERROR(_xlfn.XLOOKUP($A336,'Raw Data'!$G:$G,'Raw Data'!$AM:$AM),"")</f>
        <v/>
      </c>
      <c r="G336" s="133" t="str">
        <f>IFERROR(_xlfn.XLOOKUP($A336,'Raw Data'!$G:$G,'Raw Data'!$AB:$AB),"")</f>
        <v/>
      </c>
      <c r="H336" s="133"/>
      <c r="I336" s="133" t="str">
        <f>IFERROR(_xlfn.XLOOKUP($A336,'Raw Data'!$G:$G,'Raw Data'!$AC:$AC),"")</f>
        <v/>
      </c>
      <c r="J336" s="133"/>
      <c r="K336" s="133" t="str">
        <f>IFERROR(_xlfn.XLOOKUP($A336,'Raw Data'!$G:$G,'Raw Data'!AD:AD),"")</f>
        <v/>
      </c>
      <c r="L336" s="133" t="str">
        <f>IFERROR(_xlfn.XLOOKUP($A336,'Raw Data'!$G:$G,'Raw Data'!AE:AE),"")</f>
        <v/>
      </c>
      <c r="M336" s="133" t="str">
        <f>IFERROR(_xlfn.XLOOKUP($A336,'Raw Data'!$G:$G,'Raw Data'!AF:AF),"")</f>
        <v/>
      </c>
      <c r="N336" s="133" t="str">
        <f>IFERROR(_xlfn.XLOOKUP($A336,'Raw Data'!$G:$G,'Raw Data'!AG:AG),"")</f>
        <v/>
      </c>
      <c r="O336" s="134" t="str">
        <f>IFERROR(1-SUMIF('Plant BD'!$H:$H,$A336,'Plant BD'!$AE:$AE)/($AA336+SUMIF('Plant BD'!$H:$H,$A336,'Plant BD'!$AE:$AE)),"")</f>
        <v/>
      </c>
      <c r="P336" s="134"/>
      <c r="Q336" s="135"/>
      <c r="R336" s="134" t="str">
        <f>IFERROR(1-SUMIF('Grid BD'!$H:$H,$A336,'Grid BD'!$AD:$AD)/($AA336+SUMIF('Grid BD'!$H:$H,$A336,'Grid BD'!$AD:$AD)),"")</f>
        <v/>
      </c>
      <c r="T336" s="135"/>
      <c r="U336" s="136" t="str">
        <f t="shared" si="21"/>
        <v/>
      </c>
      <c r="V336" s="136"/>
      <c r="W336" s="137" t="str">
        <f t="shared" si="22"/>
        <v/>
      </c>
      <c r="X336" s="130" t="str">
        <f>IFERROR(_xlfn.XLOOKUP($A336,'Raw Data'!$G:$G,'Raw Data'!AI:AI),"")</f>
        <v/>
      </c>
      <c r="Y336" s="130" t="str">
        <f>IFERROR(_xlfn.XLOOKUP($A336,'Raw Data'!$G:$G,'Raw Data'!AJ:AJ),"")</f>
        <v/>
      </c>
      <c r="Z336" s="130" t="str">
        <f>IFERROR(_xlfn.XLOOKUP($A336,'Raw Data'!$G:$G,'Raw Data'!AK:AK),"")</f>
        <v/>
      </c>
      <c r="AA336" s="130" t="str">
        <f>IFERROR(_xlfn.XLOOKUP($A336,'Raw Data'!$G:$G,'Raw Data'!AL:AL),"")</f>
        <v/>
      </c>
      <c r="AB336" s="130" t="str">
        <f>IFERROR(_xlfn.XLOOKUP($A336,'Raw Data'!$G:$G,'Raw Data'!H:H),"")</f>
        <v/>
      </c>
      <c r="AC336" s="76">
        <f>IFERROR(_xlfn.XLOOKUP($D336,'Modelling New'!$D:$D,'Modelling New'!P:P),"")</f>
        <v>6.5714285714285712</v>
      </c>
      <c r="AD336" s="130">
        <f>IFERROR(_xlfn.XLOOKUP($D336,'Modelling New'!$D:$D,'Modelling New'!$T:$T)*1000,"")</f>
        <v>33989.340219935533</v>
      </c>
      <c r="AE336" s="138">
        <f>IFERROR(_xlfn.XLOOKUP($D336,'Modelling New'!$D:$D,'Modelling New'!O:O),"")</f>
        <v>0.64485168784471436</v>
      </c>
      <c r="AF336" s="137">
        <f>IFERROR(_xlfn.XLOOKUP($D336,'Modelling New'!$D:$D,'Modelling New'!W:W),"")</f>
        <v>0.17656653357652891</v>
      </c>
      <c r="AG336" s="137">
        <f>IFERROR(_xlfn.XLOOKUP($D336,'Modelling New'!$D:$D,'Modelling New'!AE:AE),"")</f>
        <v>0.98040000000000005</v>
      </c>
      <c r="AH336" s="156">
        <f>IFERROR(_xlfn.XLOOKUP($D336,'Modelling New'!$D:$D,'Modelling New'!AF:AF),"")</f>
        <v>0.98</v>
      </c>
      <c r="AN336" s="134"/>
      <c r="AO336" s="137"/>
      <c r="AP336" s="137"/>
      <c r="AQ336" s="137"/>
      <c r="AR336" s="130">
        <f>'Basic Data'!$B$98/1000</f>
        <v>8.0208999999999993</v>
      </c>
    </row>
    <row r="337" spans="1:44" x14ac:dyDescent="0.3">
      <c r="A337" s="129">
        <f t="shared" si="23"/>
        <v>46080</v>
      </c>
      <c r="B337" s="130">
        <f>YEAR(Table13[[#This Row],[Date]])+IF(MONTH(Table13[[#This Row],[Date]])&gt;=4,1,0)</f>
        <v>2026</v>
      </c>
      <c r="C337" s="7">
        <f>YEAR(Table13[[#This Row],[Date]])</f>
        <v>2026</v>
      </c>
      <c r="D337" s="131">
        <f>Table13[[#This Row],[Date]]-DAY(Table13[[#This Row],[Date]])+1</f>
        <v>46054</v>
      </c>
      <c r="E337" s="7">
        <f t="shared" si="20"/>
        <v>28</v>
      </c>
      <c r="F337" s="132" t="str">
        <f>IFERROR(_xlfn.XLOOKUP($A337,'Raw Data'!$G:$G,'Raw Data'!$AM:$AM),"")</f>
        <v/>
      </c>
      <c r="G337" s="133" t="str">
        <f>IFERROR(_xlfn.XLOOKUP($A337,'Raw Data'!$G:$G,'Raw Data'!$AB:$AB),"")</f>
        <v/>
      </c>
      <c r="H337" s="133"/>
      <c r="I337" s="133" t="str">
        <f>IFERROR(_xlfn.XLOOKUP($A337,'Raw Data'!$G:$G,'Raw Data'!$AC:$AC),"")</f>
        <v/>
      </c>
      <c r="J337" s="133"/>
      <c r="K337" s="133" t="str">
        <f>IFERROR(_xlfn.XLOOKUP($A337,'Raw Data'!$G:$G,'Raw Data'!AD:AD),"")</f>
        <v/>
      </c>
      <c r="L337" s="133" t="str">
        <f>IFERROR(_xlfn.XLOOKUP($A337,'Raw Data'!$G:$G,'Raw Data'!AE:AE),"")</f>
        <v/>
      </c>
      <c r="M337" s="133" t="str">
        <f>IFERROR(_xlfn.XLOOKUP($A337,'Raw Data'!$G:$G,'Raw Data'!AF:AF),"")</f>
        <v/>
      </c>
      <c r="N337" s="133" t="str">
        <f>IFERROR(_xlfn.XLOOKUP($A337,'Raw Data'!$G:$G,'Raw Data'!AG:AG),"")</f>
        <v/>
      </c>
      <c r="O337" s="134" t="str">
        <f>IFERROR(1-SUMIF('Plant BD'!$H:$H,$A337,'Plant BD'!$AE:$AE)/($AA337+SUMIF('Plant BD'!$H:$H,$A337,'Plant BD'!$AE:$AE)),"")</f>
        <v/>
      </c>
      <c r="P337" s="134"/>
      <c r="Q337" s="135"/>
      <c r="R337" s="134" t="str">
        <f>IFERROR(1-SUMIF('Grid BD'!$H:$H,$A337,'Grid BD'!$AD:$AD)/($AA337+SUMIF('Grid BD'!$H:$H,$A337,'Grid BD'!$AD:$AD)),"")</f>
        <v/>
      </c>
      <c r="T337" s="135"/>
      <c r="U337" s="136" t="str">
        <f t="shared" si="21"/>
        <v/>
      </c>
      <c r="V337" s="136"/>
      <c r="W337" s="137" t="str">
        <f t="shared" si="22"/>
        <v/>
      </c>
      <c r="X337" s="130" t="str">
        <f>IFERROR(_xlfn.XLOOKUP($A337,'Raw Data'!$G:$G,'Raw Data'!AI:AI),"")</f>
        <v/>
      </c>
      <c r="Y337" s="130" t="str">
        <f>IFERROR(_xlfn.XLOOKUP($A337,'Raw Data'!$G:$G,'Raw Data'!AJ:AJ),"")</f>
        <v/>
      </c>
      <c r="Z337" s="130" t="str">
        <f>IFERROR(_xlfn.XLOOKUP($A337,'Raw Data'!$G:$G,'Raw Data'!AK:AK),"")</f>
        <v/>
      </c>
      <c r="AA337" s="130" t="str">
        <f>IFERROR(_xlfn.XLOOKUP($A337,'Raw Data'!$G:$G,'Raw Data'!AL:AL),"")</f>
        <v/>
      </c>
      <c r="AB337" s="130" t="str">
        <f>IFERROR(_xlfn.XLOOKUP($A337,'Raw Data'!$G:$G,'Raw Data'!H:H),"")</f>
        <v/>
      </c>
      <c r="AC337" s="76">
        <f>IFERROR(_xlfn.XLOOKUP($D337,'Modelling New'!$D:$D,'Modelling New'!P:P),"")</f>
        <v>6.5714285714285712</v>
      </c>
      <c r="AD337" s="130">
        <f>IFERROR(_xlfn.XLOOKUP($D337,'Modelling New'!$D:$D,'Modelling New'!$T:$T)*1000,"")</f>
        <v>33989.340219935533</v>
      </c>
      <c r="AE337" s="138">
        <f>IFERROR(_xlfn.XLOOKUP($D337,'Modelling New'!$D:$D,'Modelling New'!O:O),"")</f>
        <v>0.64485168784471436</v>
      </c>
      <c r="AF337" s="137">
        <f>IFERROR(_xlfn.XLOOKUP($D337,'Modelling New'!$D:$D,'Modelling New'!W:W),"")</f>
        <v>0.17656653357652891</v>
      </c>
      <c r="AG337" s="137">
        <f>IFERROR(_xlfn.XLOOKUP($D337,'Modelling New'!$D:$D,'Modelling New'!AE:AE),"")</f>
        <v>0.98040000000000005</v>
      </c>
      <c r="AH337" s="156">
        <f>IFERROR(_xlfn.XLOOKUP($D337,'Modelling New'!$D:$D,'Modelling New'!AF:AF),"")</f>
        <v>0.98</v>
      </c>
      <c r="AN337" s="134"/>
      <c r="AO337" s="137"/>
      <c r="AP337" s="137"/>
      <c r="AQ337" s="137"/>
      <c r="AR337" s="130">
        <f>'Basic Data'!$B$98/1000</f>
        <v>8.0208999999999993</v>
      </c>
    </row>
    <row r="338" spans="1:44" x14ac:dyDescent="0.3">
      <c r="A338" s="129">
        <f t="shared" si="23"/>
        <v>46081</v>
      </c>
      <c r="B338" s="130">
        <f>YEAR(Table13[[#This Row],[Date]])+IF(MONTH(Table13[[#This Row],[Date]])&gt;=4,1,0)</f>
        <v>2026</v>
      </c>
      <c r="C338" s="7">
        <f>YEAR(Table13[[#This Row],[Date]])</f>
        <v>2026</v>
      </c>
      <c r="D338" s="131">
        <f>Table13[[#This Row],[Date]]-DAY(Table13[[#This Row],[Date]])+1</f>
        <v>46054</v>
      </c>
      <c r="E338" s="7">
        <f t="shared" si="20"/>
        <v>28</v>
      </c>
      <c r="F338" s="132" t="str">
        <f>IFERROR(_xlfn.XLOOKUP($A338,'Raw Data'!$G:$G,'Raw Data'!$AM:$AM),"")</f>
        <v/>
      </c>
      <c r="G338" s="133" t="str">
        <f>IFERROR(_xlfn.XLOOKUP($A338,'Raw Data'!$G:$G,'Raw Data'!$AB:$AB),"")</f>
        <v/>
      </c>
      <c r="H338" s="133"/>
      <c r="I338" s="133" t="str">
        <f>IFERROR(_xlfn.XLOOKUP($A338,'Raw Data'!$G:$G,'Raw Data'!$AC:$AC),"")</f>
        <v/>
      </c>
      <c r="J338" s="133"/>
      <c r="K338" s="133" t="str">
        <f>IFERROR(_xlfn.XLOOKUP($A338,'Raw Data'!$G:$G,'Raw Data'!AD:AD),"")</f>
        <v/>
      </c>
      <c r="L338" s="133" t="str">
        <f>IFERROR(_xlfn.XLOOKUP($A338,'Raw Data'!$G:$G,'Raw Data'!AE:AE),"")</f>
        <v/>
      </c>
      <c r="M338" s="133" t="str">
        <f>IFERROR(_xlfn.XLOOKUP($A338,'Raw Data'!$G:$G,'Raw Data'!AF:AF),"")</f>
        <v/>
      </c>
      <c r="N338" s="133" t="str">
        <f>IFERROR(_xlfn.XLOOKUP($A338,'Raw Data'!$G:$G,'Raw Data'!AG:AG),"")</f>
        <v/>
      </c>
      <c r="O338" s="134" t="str">
        <f>IFERROR(1-SUMIF('Plant BD'!$H:$H,$A338,'Plant BD'!$AE:$AE)/($AA338+SUMIF('Plant BD'!$H:$H,$A338,'Plant BD'!$AE:$AE)),"")</f>
        <v/>
      </c>
      <c r="P338" s="134"/>
      <c r="Q338" s="135"/>
      <c r="R338" s="134" t="str">
        <f>IFERROR(1-SUMIF('Grid BD'!$H:$H,$A338,'Grid BD'!$AD:$AD)/($AA338+SUMIF('Grid BD'!$H:$H,$A338,'Grid BD'!$AD:$AD)),"")</f>
        <v/>
      </c>
      <c r="T338" s="135"/>
      <c r="U338" s="136" t="str">
        <f t="shared" si="21"/>
        <v/>
      </c>
      <c r="V338" s="136"/>
      <c r="W338" s="137" t="str">
        <f t="shared" si="22"/>
        <v/>
      </c>
      <c r="X338" s="130" t="str">
        <f>IFERROR(_xlfn.XLOOKUP($A338,'Raw Data'!$G:$G,'Raw Data'!AI:AI),"")</f>
        <v/>
      </c>
      <c r="Y338" s="130" t="str">
        <f>IFERROR(_xlfn.XLOOKUP($A338,'Raw Data'!$G:$G,'Raw Data'!AJ:AJ),"")</f>
        <v/>
      </c>
      <c r="Z338" s="130" t="str">
        <f>IFERROR(_xlfn.XLOOKUP($A338,'Raw Data'!$G:$G,'Raw Data'!AK:AK),"")</f>
        <v/>
      </c>
      <c r="AA338" s="130" t="str">
        <f>IFERROR(_xlfn.XLOOKUP($A338,'Raw Data'!$G:$G,'Raw Data'!AL:AL),"")</f>
        <v/>
      </c>
      <c r="AB338" s="130" t="str">
        <f>IFERROR(_xlfn.XLOOKUP($A338,'Raw Data'!$G:$G,'Raw Data'!H:H),"")</f>
        <v/>
      </c>
      <c r="AC338" s="76">
        <f>IFERROR(_xlfn.XLOOKUP($D338,'Modelling New'!$D:$D,'Modelling New'!P:P),"")</f>
        <v>6.5714285714285712</v>
      </c>
      <c r="AD338" s="130">
        <f>IFERROR(_xlfn.XLOOKUP($D338,'Modelling New'!$D:$D,'Modelling New'!$T:$T)*1000,"")</f>
        <v>33989.340219935533</v>
      </c>
      <c r="AE338" s="138">
        <f>IFERROR(_xlfn.XLOOKUP($D338,'Modelling New'!$D:$D,'Modelling New'!O:O),"")</f>
        <v>0.64485168784471436</v>
      </c>
      <c r="AF338" s="137">
        <f>IFERROR(_xlfn.XLOOKUP($D338,'Modelling New'!$D:$D,'Modelling New'!W:W),"")</f>
        <v>0.17656653357652891</v>
      </c>
      <c r="AG338" s="137">
        <f>IFERROR(_xlfn.XLOOKUP($D338,'Modelling New'!$D:$D,'Modelling New'!AE:AE),"")</f>
        <v>0.98040000000000005</v>
      </c>
      <c r="AH338" s="156">
        <f>IFERROR(_xlfn.XLOOKUP($D338,'Modelling New'!$D:$D,'Modelling New'!AF:AF),"")</f>
        <v>0.98</v>
      </c>
      <c r="AN338" s="134"/>
      <c r="AO338" s="137"/>
      <c r="AP338" s="137"/>
      <c r="AQ338" s="137"/>
      <c r="AR338" s="130">
        <f>'Basic Data'!$B$98/1000</f>
        <v>8.0208999999999993</v>
      </c>
    </row>
    <row r="339" spans="1:44" x14ac:dyDescent="0.3">
      <c r="A339" s="129">
        <f t="shared" si="23"/>
        <v>46082</v>
      </c>
      <c r="B339" s="130">
        <f>YEAR(Table13[[#This Row],[Date]])+IF(MONTH(Table13[[#This Row],[Date]])&gt;=4,1,0)</f>
        <v>2026</v>
      </c>
      <c r="C339" s="7">
        <f>YEAR(Table13[[#This Row],[Date]])</f>
        <v>2026</v>
      </c>
      <c r="D339" s="131">
        <f>Table13[[#This Row],[Date]]-DAY(Table13[[#This Row],[Date]])+1</f>
        <v>46082</v>
      </c>
      <c r="E339" s="7">
        <f t="shared" si="20"/>
        <v>31</v>
      </c>
      <c r="F339" s="132" t="str">
        <f>IFERROR(_xlfn.XLOOKUP($A339,'Raw Data'!$G:$G,'Raw Data'!$AM:$AM),"")</f>
        <v/>
      </c>
      <c r="G339" s="133" t="str">
        <f>IFERROR(_xlfn.XLOOKUP($A339,'Raw Data'!$G:$G,'Raw Data'!$AB:$AB),"")</f>
        <v/>
      </c>
      <c r="H339" s="133"/>
      <c r="I339" s="133" t="str">
        <f>IFERROR(_xlfn.XLOOKUP($A339,'Raw Data'!$G:$G,'Raw Data'!$AC:$AC),"")</f>
        <v/>
      </c>
      <c r="J339" s="133"/>
      <c r="K339" s="133" t="str">
        <f>IFERROR(_xlfn.XLOOKUP($A339,'Raw Data'!$G:$G,'Raw Data'!AD:AD),"")</f>
        <v/>
      </c>
      <c r="L339" s="133" t="str">
        <f>IFERROR(_xlfn.XLOOKUP($A339,'Raw Data'!$G:$G,'Raw Data'!AE:AE),"")</f>
        <v/>
      </c>
      <c r="M339" s="133" t="str">
        <f>IFERROR(_xlfn.XLOOKUP($A339,'Raw Data'!$G:$G,'Raw Data'!AF:AF),"")</f>
        <v/>
      </c>
      <c r="N339" s="133" t="str">
        <f>IFERROR(_xlfn.XLOOKUP($A339,'Raw Data'!$G:$G,'Raw Data'!AG:AG),"")</f>
        <v/>
      </c>
      <c r="O339" s="134" t="str">
        <f>IFERROR(1-SUMIF('Plant BD'!$H:$H,$A339,'Plant BD'!$AE:$AE)/($AA339+SUMIF('Plant BD'!$H:$H,$A339,'Plant BD'!$AE:$AE)),"")</f>
        <v/>
      </c>
      <c r="P339" s="134"/>
      <c r="Q339" s="135"/>
      <c r="R339" s="134" t="str">
        <f>IFERROR(1-SUMIF('Grid BD'!$H:$H,$A339,'Grid BD'!$AD:$AD)/($AA339+SUMIF('Grid BD'!$H:$H,$A339,'Grid BD'!$AD:$AD)),"")</f>
        <v/>
      </c>
      <c r="T339" s="135"/>
      <c r="U339" s="136" t="str">
        <f t="shared" si="21"/>
        <v/>
      </c>
      <c r="V339" s="136"/>
      <c r="W339" s="137" t="str">
        <f t="shared" si="22"/>
        <v/>
      </c>
      <c r="X339" s="130" t="str">
        <f>IFERROR(_xlfn.XLOOKUP($A339,'Raw Data'!$G:$G,'Raw Data'!AI:AI),"")</f>
        <v/>
      </c>
      <c r="Y339" s="130" t="str">
        <f>IFERROR(_xlfn.XLOOKUP($A339,'Raw Data'!$G:$G,'Raw Data'!AJ:AJ),"")</f>
        <v/>
      </c>
      <c r="Z339" s="130" t="str">
        <f>IFERROR(_xlfn.XLOOKUP($A339,'Raw Data'!$G:$G,'Raw Data'!AK:AK),"")</f>
        <v/>
      </c>
      <c r="AA339" s="130" t="str">
        <f>IFERROR(_xlfn.XLOOKUP($A339,'Raw Data'!$G:$G,'Raw Data'!AL:AL),"")</f>
        <v/>
      </c>
      <c r="AB339" s="130" t="str">
        <f>IFERROR(_xlfn.XLOOKUP($A339,'Raw Data'!$G:$G,'Raw Data'!H:H),"")</f>
        <v/>
      </c>
      <c r="AC339" s="76">
        <f>IFERROR(_xlfn.XLOOKUP($D339,'Modelling New'!$D:$D,'Modelling New'!P:P),"")</f>
        <v>6.7870967741935484</v>
      </c>
      <c r="AD339" s="130">
        <f>IFERROR(_xlfn.XLOOKUP($D339,'Modelling New'!$D:$D,'Modelling New'!$T:$T)*1000,"")</f>
        <v>38219.028541703687</v>
      </c>
      <c r="AE339" s="138">
        <f>IFERROR(_xlfn.XLOOKUP($D339,'Modelling New'!$D:$D,'Modelling New'!O:O),"")</f>
        <v>0.70205720444645292</v>
      </c>
      <c r="AF339" s="137">
        <f>IFERROR(_xlfn.XLOOKUP($D339,'Modelling New'!$D:$D,'Modelling New'!W:W),"")</f>
        <v>0.19853875781657757</v>
      </c>
      <c r="AG339" s="137">
        <f>IFERROR(_xlfn.XLOOKUP($D339,'Modelling New'!$D:$D,'Modelling New'!AE:AE),"")</f>
        <v>0.98040000000000005</v>
      </c>
      <c r="AH339" s="156">
        <f>IFERROR(_xlfn.XLOOKUP($D339,'Modelling New'!$D:$D,'Modelling New'!AF:AF),"")</f>
        <v>0.98</v>
      </c>
      <c r="AN339" s="134"/>
      <c r="AO339" s="137"/>
      <c r="AP339" s="137"/>
      <c r="AQ339" s="137"/>
      <c r="AR339" s="130">
        <f>'Basic Data'!$B$98/1000</f>
        <v>8.0208999999999993</v>
      </c>
    </row>
    <row r="340" spans="1:44" x14ac:dyDescent="0.3">
      <c r="A340" s="129">
        <f t="shared" si="23"/>
        <v>46083</v>
      </c>
      <c r="B340" s="130">
        <f>YEAR(Table13[[#This Row],[Date]])+IF(MONTH(Table13[[#This Row],[Date]])&gt;=4,1,0)</f>
        <v>2026</v>
      </c>
      <c r="C340" s="7">
        <f>YEAR(Table13[[#This Row],[Date]])</f>
        <v>2026</v>
      </c>
      <c r="D340" s="131">
        <f>Table13[[#This Row],[Date]]-DAY(Table13[[#This Row],[Date]])+1</f>
        <v>46082</v>
      </c>
      <c r="E340" s="7">
        <f t="shared" si="20"/>
        <v>31</v>
      </c>
      <c r="F340" s="132" t="str">
        <f>IFERROR(_xlfn.XLOOKUP($A340,'Raw Data'!$G:$G,'Raw Data'!$AM:$AM),"")</f>
        <v/>
      </c>
      <c r="G340" s="133" t="str">
        <f>IFERROR(_xlfn.XLOOKUP($A340,'Raw Data'!$G:$G,'Raw Data'!$AB:$AB),"")</f>
        <v/>
      </c>
      <c r="H340" s="133"/>
      <c r="I340" s="133" t="str">
        <f>IFERROR(_xlfn.XLOOKUP($A340,'Raw Data'!$G:$G,'Raw Data'!$AC:$AC),"")</f>
        <v/>
      </c>
      <c r="J340" s="133"/>
      <c r="K340" s="133" t="str">
        <f>IFERROR(_xlfn.XLOOKUP($A340,'Raw Data'!$G:$G,'Raw Data'!AD:AD),"")</f>
        <v/>
      </c>
      <c r="L340" s="133" t="str">
        <f>IFERROR(_xlfn.XLOOKUP($A340,'Raw Data'!$G:$G,'Raw Data'!AE:AE),"")</f>
        <v/>
      </c>
      <c r="M340" s="133" t="str">
        <f>IFERROR(_xlfn.XLOOKUP($A340,'Raw Data'!$G:$G,'Raw Data'!AF:AF),"")</f>
        <v/>
      </c>
      <c r="N340" s="133" t="str">
        <f>IFERROR(_xlfn.XLOOKUP($A340,'Raw Data'!$G:$G,'Raw Data'!AG:AG),"")</f>
        <v/>
      </c>
      <c r="O340" s="134" t="str">
        <f>IFERROR(1-SUMIF('Plant BD'!$H:$H,$A340,'Plant BD'!$AE:$AE)/($AA340+SUMIF('Plant BD'!$H:$H,$A340,'Plant BD'!$AE:$AE)),"")</f>
        <v/>
      </c>
      <c r="P340" s="134"/>
      <c r="Q340" s="135"/>
      <c r="R340" s="134" t="str">
        <f>IFERROR(1-SUMIF('Grid BD'!$H:$H,$A340,'Grid BD'!$AD:$AD)/($AA340+SUMIF('Grid BD'!$H:$H,$A340,'Grid BD'!$AD:$AD)),"")</f>
        <v/>
      </c>
      <c r="T340" s="135"/>
      <c r="U340" s="136" t="str">
        <f t="shared" si="21"/>
        <v/>
      </c>
      <c r="V340" s="136"/>
      <c r="W340" s="137" t="str">
        <f t="shared" si="22"/>
        <v/>
      </c>
      <c r="X340" s="130" t="str">
        <f>IFERROR(_xlfn.XLOOKUP($A340,'Raw Data'!$G:$G,'Raw Data'!AI:AI),"")</f>
        <v/>
      </c>
      <c r="Y340" s="130" t="str">
        <f>IFERROR(_xlfn.XLOOKUP($A340,'Raw Data'!$G:$G,'Raw Data'!AJ:AJ),"")</f>
        <v/>
      </c>
      <c r="Z340" s="130" t="str">
        <f>IFERROR(_xlfn.XLOOKUP($A340,'Raw Data'!$G:$G,'Raw Data'!AK:AK),"")</f>
        <v/>
      </c>
      <c r="AA340" s="130" t="str">
        <f>IFERROR(_xlfn.XLOOKUP($A340,'Raw Data'!$G:$G,'Raw Data'!AL:AL),"")</f>
        <v/>
      </c>
      <c r="AB340" s="130" t="str">
        <f>IFERROR(_xlfn.XLOOKUP($A340,'Raw Data'!$G:$G,'Raw Data'!H:H),"")</f>
        <v/>
      </c>
      <c r="AC340" s="76">
        <f>IFERROR(_xlfn.XLOOKUP($D340,'Modelling New'!$D:$D,'Modelling New'!P:P),"")</f>
        <v>6.7870967741935484</v>
      </c>
      <c r="AD340" s="130">
        <f>IFERROR(_xlfn.XLOOKUP($D340,'Modelling New'!$D:$D,'Modelling New'!$T:$T)*1000,"")</f>
        <v>38219.028541703687</v>
      </c>
      <c r="AE340" s="138">
        <f>IFERROR(_xlfn.XLOOKUP($D340,'Modelling New'!$D:$D,'Modelling New'!O:O),"")</f>
        <v>0.70205720444645292</v>
      </c>
      <c r="AF340" s="137">
        <f>IFERROR(_xlfn.XLOOKUP($D340,'Modelling New'!$D:$D,'Modelling New'!W:W),"")</f>
        <v>0.19853875781657757</v>
      </c>
      <c r="AG340" s="137">
        <f>IFERROR(_xlfn.XLOOKUP($D340,'Modelling New'!$D:$D,'Modelling New'!AE:AE),"")</f>
        <v>0.98040000000000005</v>
      </c>
      <c r="AH340" s="156">
        <f>IFERROR(_xlfn.XLOOKUP($D340,'Modelling New'!$D:$D,'Modelling New'!AF:AF),"")</f>
        <v>0.98</v>
      </c>
      <c r="AN340" s="134"/>
      <c r="AO340" s="137"/>
      <c r="AP340" s="137"/>
      <c r="AQ340" s="137"/>
      <c r="AR340" s="130">
        <f>'Basic Data'!$B$98/1000</f>
        <v>8.0208999999999993</v>
      </c>
    </row>
    <row r="341" spans="1:44" x14ac:dyDescent="0.3">
      <c r="A341" s="129">
        <f t="shared" si="23"/>
        <v>46084</v>
      </c>
      <c r="B341" s="130">
        <f>YEAR(Table13[[#This Row],[Date]])+IF(MONTH(Table13[[#This Row],[Date]])&gt;=4,1,0)</f>
        <v>2026</v>
      </c>
      <c r="C341" s="7">
        <f>YEAR(Table13[[#This Row],[Date]])</f>
        <v>2026</v>
      </c>
      <c r="D341" s="131">
        <f>Table13[[#This Row],[Date]]-DAY(Table13[[#This Row],[Date]])+1</f>
        <v>46082</v>
      </c>
      <c r="E341" s="7">
        <f t="shared" si="20"/>
        <v>31</v>
      </c>
      <c r="F341" s="132" t="str">
        <f>IFERROR(_xlfn.XLOOKUP($A341,'Raw Data'!$G:$G,'Raw Data'!$AM:$AM),"")</f>
        <v/>
      </c>
      <c r="G341" s="133" t="str">
        <f>IFERROR(_xlfn.XLOOKUP($A341,'Raw Data'!$G:$G,'Raw Data'!$AB:$AB),"")</f>
        <v/>
      </c>
      <c r="H341" s="133"/>
      <c r="I341" s="133" t="str">
        <f>IFERROR(_xlfn.XLOOKUP($A341,'Raw Data'!$G:$G,'Raw Data'!$AC:$AC),"")</f>
        <v/>
      </c>
      <c r="J341" s="133"/>
      <c r="K341" s="133" t="str">
        <f>IFERROR(_xlfn.XLOOKUP($A341,'Raw Data'!$G:$G,'Raw Data'!AD:AD),"")</f>
        <v/>
      </c>
      <c r="L341" s="133" t="str">
        <f>IFERROR(_xlfn.XLOOKUP($A341,'Raw Data'!$G:$G,'Raw Data'!AE:AE),"")</f>
        <v/>
      </c>
      <c r="M341" s="133" t="str">
        <f>IFERROR(_xlfn.XLOOKUP($A341,'Raw Data'!$G:$G,'Raw Data'!AF:AF),"")</f>
        <v/>
      </c>
      <c r="N341" s="133" t="str">
        <f>IFERROR(_xlfn.XLOOKUP($A341,'Raw Data'!$G:$G,'Raw Data'!AG:AG),"")</f>
        <v/>
      </c>
      <c r="O341" s="134" t="str">
        <f>IFERROR(1-SUMIF('Plant BD'!$H:$H,$A341,'Plant BD'!$AE:$AE)/($AA341+SUMIF('Plant BD'!$H:$H,$A341,'Plant BD'!$AE:$AE)),"")</f>
        <v/>
      </c>
      <c r="P341" s="134"/>
      <c r="Q341" s="135"/>
      <c r="R341" s="134" t="str">
        <f>IFERROR(1-SUMIF('Grid BD'!$H:$H,$A341,'Grid BD'!$AD:$AD)/($AA341+SUMIF('Grid BD'!$H:$H,$A341,'Grid BD'!$AD:$AD)),"")</f>
        <v/>
      </c>
      <c r="T341" s="135"/>
      <c r="U341" s="136" t="str">
        <f t="shared" si="21"/>
        <v/>
      </c>
      <c r="V341" s="136"/>
      <c r="W341" s="137" t="str">
        <f t="shared" si="22"/>
        <v/>
      </c>
      <c r="X341" s="130" t="str">
        <f>IFERROR(_xlfn.XLOOKUP($A341,'Raw Data'!$G:$G,'Raw Data'!AI:AI),"")</f>
        <v/>
      </c>
      <c r="Y341" s="130" t="str">
        <f>IFERROR(_xlfn.XLOOKUP($A341,'Raw Data'!$G:$G,'Raw Data'!AJ:AJ),"")</f>
        <v/>
      </c>
      <c r="Z341" s="130" t="str">
        <f>IFERROR(_xlfn.XLOOKUP($A341,'Raw Data'!$G:$G,'Raw Data'!AK:AK),"")</f>
        <v/>
      </c>
      <c r="AA341" s="130" t="str">
        <f>IFERROR(_xlfn.XLOOKUP($A341,'Raw Data'!$G:$G,'Raw Data'!AL:AL),"")</f>
        <v/>
      </c>
      <c r="AB341" s="130" t="str">
        <f>IFERROR(_xlfn.XLOOKUP($A341,'Raw Data'!$G:$G,'Raw Data'!H:H),"")</f>
        <v/>
      </c>
      <c r="AC341" s="76">
        <f>IFERROR(_xlfn.XLOOKUP($D341,'Modelling New'!$D:$D,'Modelling New'!P:P),"")</f>
        <v>6.7870967741935484</v>
      </c>
      <c r="AD341" s="130">
        <f>IFERROR(_xlfn.XLOOKUP($D341,'Modelling New'!$D:$D,'Modelling New'!$T:$T)*1000,"")</f>
        <v>38219.028541703687</v>
      </c>
      <c r="AE341" s="138">
        <f>IFERROR(_xlfn.XLOOKUP($D341,'Modelling New'!$D:$D,'Modelling New'!O:O),"")</f>
        <v>0.70205720444645292</v>
      </c>
      <c r="AF341" s="137">
        <f>IFERROR(_xlfn.XLOOKUP($D341,'Modelling New'!$D:$D,'Modelling New'!W:W),"")</f>
        <v>0.19853875781657757</v>
      </c>
      <c r="AG341" s="137">
        <f>IFERROR(_xlfn.XLOOKUP($D341,'Modelling New'!$D:$D,'Modelling New'!AE:AE),"")</f>
        <v>0.98040000000000005</v>
      </c>
      <c r="AH341" s="156">
        <f>IFERROR(_xlfn.XLOOKUP($D341,'Modelling New'!$D:$D,'Modelling New'!AF:AF),"")</f>
        <v>0.98</v>
      </c>
      <c r="AN341" s="134"/>
      <c r="AO341" s="137"/>
      <c r="AP341" s="137"/>
      <c r="AQ341" s="137"/>
      <c r="AR341" s="130">
        <f>'Basic Data'!$B$98/1000</f>
        <v>8.0208999999999993</v>
      </c>
    </row>
    <row r="342" spans="1:44" x14ac:dyDescent="0.3">
      <c r="A342" s="129">
        <f t="shared" si="23"/>
        <v>46085</v>
      </c>
      <c r="B342" s="130">
        <f>YEAR(Table13[[#This Row],[Date]])+IF(MONTH(Table13[[#This Row],[Date]])&gt;=4,1,0)</f>
        <v>2026</v>
      </c>
      <c r="C342" s="7">
        <f>YEAR(Table13[[#This Row],[Date]])</f>
        <v>2026</v>
      </c>
      <c r="D342" s="131">
        <f>Table13[[#This Row],[Date]]-DAY(Table13[[#This Row],[Date]])+1</f>
        <v>46082</v>
      </c>
      <c r="E342" s="7">
        <f t="shared" si="20"/>
        <v>31</v>
      </c>
      <c r="F342" s="132" t="str">
        <f>IFERROR(_xlfn.XLOOKUP($A342,'Raw Data'!$G:$G,'Raw Data'!$AM:$AM),"")</f>
        <v/>
      </c>
      <c r="G342" s="133" t="str">
        <f>IFERROR(_xlfn.XLOOKUP($A342,'Raw Data'!$G:$G,'Raw Data'!$AB:$AB),"")</f>
        <v/>
      </c>
      <c r="H342" s="133"/>
      <c r="I342" s="133" t="str">
        <f>IFERROR(_xlfn.XLOOKUP($A342,'Raw Data'!$G:$G,'Raw Data'!$AC:$AC),"")</f>
        <v/>
      </c>
      <c r="J342" s="133"/>
      <c r="K342" s="133" t="str">
        <f>IFERROR(_xlfn.XLOOKUP($A342,'Raw Data'!$G:$G,'Raw Data'!AD:AD),"")</f>
        <v/>
      </c>
      <c r="L342" s="133" t="str">
        <f>IFERROR(_xlfn.XLOOKUP($A342,'Raw Data'!$G:$G,'Raw Data'!AE:AE),"")</f>
        <v/>
      </c>
      <c r="M342" s="133" t="str">
        <f>IFERROR(_xlfn.XLOOKUP($A342,'Raw Data'!$G:$G,'Raw Data'!AF:AF),"")</f>
        <v/>
      </c>
      <c r="N342" s="133" t="str">
        <f>IFERROR(_xlfn.XLOOKUP($A342,'Raw Data'!$G:$G,'Raw Data'!AG:AG),"")</f>
        <v/>
      </c>
      <c r="O342" s="134" t="str">
        <f>IFERROR(1-SUMIF('Plant BD'!$H:$H,$A342,'Plant BD'!$AE:$AE)/($AA342+SUMIF('Plant BD'!$H:$H,$A342,'Plant BD'!$AE:$AE)),"")</f>
        <v/>
      </c>
      <c r="P342" s="134"/>
      <c r="Q342" s="135"/>
      <c r="R342" s="134" t="str">
        <f>IFERROR(1-SUMIF('Grid BD'!$H:$H,$A342,'Grid BD'!$AD:$AD)/($AA342+SUMIF('Grid BD'!$H:$H,$A342,'Grid BD'!$AD:$AD)),"")</f>
        <v/>
      </c>
      <c r="T342" s="135"/>
      <c r="U342" s="136" t="str">
        <f t="shared" si="21"/>
        <v/>
      </c>
      <c r="V342" s="136"/>
      <c r="W342" s="137" t="str">
        <f t="shared" si="22"/>
        <v/>
      </c>
      <c r="X342" s="130" t="str">
        <f>IFERROR(_xlfn.XLOOKUP($A342,'Raw Data'!$G:$G,'Raw Data'!AI:AI),"")</f>
        <v/>
      </c>
      <c r="Y342" s="130" t="str">
        <f>IFERROR(_xlfn.XLOOKUP($A342,'Raw Data'!$G:$G,'Raw Data'!AJ:AJ),"")</f>
        <v/>
      </c>
      <c r="Z342" s="130" t="str">
        <f>IFERROR(_xlfn.XLOOKUP($A342,'Raw Data'!$G:$G,'Raw Data'!AK:AK),"")</f>
        <v/>
      </c>
      <c r="AA342" s="130" t="str">
        <f>IFERROR(_xlfn.XLOOKUP($A342,'Raw Data'!$G:$G,'Raw Data'!AL:AL),"")</f>
        <v/>
      </c>
      <c r="AB342" s="130" t="str">
        <f>IFERROR(_xlfn.XLOOKUP($A342,'Raw Data'!$G:$G,'Raw Data'!H:H),"")</f>
        <v/>
      </c>
      <c r="AC342" s="76">
        <f>IFERROR(_xlfn.XLOOKUP($D342,'Modelling New'!$D:$D,'Modelling New'!P:P),"")</f>
        <v>6.7870967741935484</v>
      </c>
      <c r="AD342" s="130">
        <f>IFERROR(_xlfn.XLOOKUP($D342,'Modelling New'!$D:$D,'Modelling New'!$T:$T)*1000,"")</f>
        <v>38219.028541703687</v>
      </c>
      <c r="AE342" s="138">
        <f>IFERROR(_xlfn.XLOOKUP($D342,'Modelling New'!$D:$D,'Modelling New'!O:O),"")</f>
        <v>0.70205720444645292</v>
      </c>
      <c r="AF342" s="137">
        <f>IFERROR(_xlfn.XLOOKUP($D342,'Modelling New'!$D:$D,'Modelling New'!W:W),"")</f>
        <v>0.19853875781657757</v>
      </c>
      <c r="AG342" s="137">
        <f>IFERROR(_xlfn.XLOOKUP($D342,'Modelling New'!$D:$D,'Modelling New'!AE:AE),"")</f>
        <v>0.98040000000000005</v>
      </c>
      <c r="AH342" s="156">
        <f>IFERROR(_xlfn.XLOOKUP($D342,'Modelling New'!$D:$D,'Modelling New'!AF:AF),"")</f>
        <v>0.98</v>
      </c>
      <c r="AN342" s="134"/>
      <c r="AO342" s="137"/>
      <c r="AP342" s="137"/>
      <c r="AQ342" s="137"/>
      <c r="AR342" s="130">
        <f>'Basic Data'!$B$98/1000</f>
        <v>8.0208999999999993</v>
      </c>
    </row>
    <row r="343" spans="1:44" x14ac:dyDescent="0.3">
      <c r="A343" s="129">
        <f t="shared" si="23"/>
        <v>46086</v>
      </c>
      <c r="B343" s="130">
        <f>YEAR(Table13[[#This Row],[Date]])+IF(MONTH(Table13[[#This Row],[Date]])&gt;=4,1,0)</f>
        <v>2026</v>
      </c>
      <c r="C343" s="7">
        <f>YEAR(Table13[[#This Row],[Date]])</f>
        <v>2026</v>
      </c>
      <c r="D343" s="131">
        <f>Table13[[#This Row],[Date]]-DAY(Table13[[#This Row],[Date]])+1</f>
        <v>46082</v>
      </c>
      <c r="E343" s="7">
        <f t="shared" si="20"/>
        <v>31</v>
      </c>
      <c r="F343" s="132" t="str">
        <f>IFERROR(_xlfn.XLOOKUP($A343,'Raw Data'!$G:$G,'Raw Data'!$AM:$AM),"")</f>
        <v/>
      </c>
      <c r="G343" s="133" t="str">
        <f>IFERROR(_xlfn.XLOOKUP($A343,'Raw Data'!$G:$G,'Raw Data'!$AB:$AB),"")</f>
        <v/>
      </c>
      <c r="H343" s="133"/>
      <c r="I343" s="133" t="str">
        <f>IFERROR(_xlfn.XLOOKUP($A343,'Raw Data'!$G:$G,'Raw Data'!$AC:$AC),"")</f>
        <v/>
      </c>
      <c r="J343" s="133"/>
      <c r="K343" s="133" t="str">
        <f>IFERROR(_xlfn.XLOOKUP($A343,'Raw Data'!$G:$G,'Raw Data'!AD:AD),"")</f>
        <v/>
      </c>
      <c r="L343" s="133" t="str">
        <f>IFERROR(_xlfn.XLOOKUP($A343,'Raw Data'!$G:$G,'Raw Data'!AE:AE),"")</f>
        <v/>
      </c>
      <c r="M343" s="133" t="str">
        <f>IFERROR(_xlfn.XLOOKUP($A343,'Raw Data'!$G:$G,'Raw Data'!AF:AF),"")</f>
        <v/>
      </c>
      <c r="N343" s="133" t="str">
        <f>IFERROR(_xlfn.XLOOKUP($A343,'Raw Data'!$G:$G,'Raw Data'!AG:AG),"")</f>
        <v/>
      </c>
      <c r="O343" s="134" t="str">
        <f>IFERROR(1-SUMIF('Plant BD'!$H:$H,$A343,'Plant BD'!$AE:$AE)/($AA343+SUMIF('Plant BD'!$H:$H,$A343,'Plant BD'!$AE:$AE)),"")</f>
        <v/>
      </c>
      <c r="P343" s="134"/>
      <c r="Q343" s="135"/>
      <c r="R343" s="134" t="str">
        <f>IFERROR(1-SUMIF('Grid BD'!$H:$H,$A343,'Grid BD'!$AD:$AD)/($AA343+SUMIF('Grid BD'!$H:$H,$A343,'Grid BD'!$AD:$AD)),"")</f>
        <v/>
      </c>
      <c r="T343" s="135"/>
      <c r="U343" s="136" t="str">
        <f t="shared" si="21"/>
        <v/>
      </c>
      <c r="V343" s="136"/>
      <c r="W343" s="137" t="str">
        <f t="shared" si="22"/>
        <v/>
      </c>
      <c r="X343" s="130" t="str">
        <f>IFERROR(_xlfn.XLOOKUP($A343,'Raw Data'!$G:$G,'Raw Data'!AI:AI),"")</f>
        <v/>
      </c>
      <c r="Y343" s="130" t="str">
        <f>IFERROR(_xlfn.XLOOKUP($A343,'Raw Data'!$G:$G,'Raw Data'!AJ:AJ),"")</f>
        <v/>
      </c>
      <c r="Z343" s="130" t="str">
        <f>IFERROR(_xlfn.XLOOKUP($A343,'Raw Data'!$G:$G,'Raw Data'!AK:AK),"")</f>
        <v/>
      </c>
      <c r="AA343" s="130" t="str">
        <f>IFERROR(_xlfn.XLOOKUP($A343,'Raw Data'!$G:$G,'Raw Data'!AL:AL),"")</f>
        <v/>
      </c>
      <c r="AB343" s="130" t="str">
        <f>IFERROR(_xlfn.XLOOKUP($A343,'Raw Data'!$G:$G,'Raw Data'!H:H),"")</f>
        <v/>
      </c>
      <c r="AC343" s="76">
        <f>IFERROR(_xlfn.XLOOKUP($D343,'Modelling New'!$D:$D,'Modelling New'!P:P),"")</f>
        <v>6.7870967741935484</v>
      </c>
      <c r="AD343" s="130">
        <f>IFERROR(_xlfn.XLOOKUP($D343,'Modelling New'!$D:$D,'Modelling New'!$T:$T)*1000,"")</f>
        <v>38219.028541703687</v>
      </c>
      <c r="AE343" s="138">
        <f>IFERROR(_xlfn.XLOOKUP($D343,'Modelling New'!$D:$D,'Modelling New'!O:O),"")</f>
        <v>0.70205720444645292</v>
      </c>
      <c r="AF343" s="137">
        <f>IFERROR(_xlfn.XLOOKUP($D343,'Modelling New'!$D:$D,'Modelling New'!W:W),"")</f>
        <v>0.19853875781657757</v>
      </c>
      <c r="AG343" s="137">
        <f>IFERROR(_xlfn.XLOOKUP($D343,'Modelling New'!$D:$D,'Modelling New'!AE:AE),"")</f>
        <v>0.98040000000000005</v>
      </c>
      <c r="AH343" s="156">
        <f>IFERROR(_xlfn.XLOOKUP($D343,'Modelling New'!$D:$D,'Modelling New'!AF:AF),"")</f>
        <v>0.98</v>
      </c>
      <c r="AN343" s="134"/>
      <c r="AO343" s="137"/>
      <c r="AP343" s="137"/>
      <c r="AQ343" s="137"/>
      <c r="AR343" s="130">
        <f>'Basic Data'!$B$98/1000</f>
        <v>8.0208999999999993</v>
      </c>
    </row>
    <row r="344" spans="1:44" x14ac:dyDescent="0.3">
      <c r="A344" s="129">
        <f t="shared" si="23"/>
        <v>46087</v>
      </c>
      <c r="B344" s="130">
        <f>YEAR(Table13[[#This Row],[Date]])+IF(MONTH(Table13[[#This Row],[Date]])&gt;=4,1,0)</f>
        <v>2026</v>
      </c>
      <c r="C344" s="7">
        <f>YEAR(Table13[[#This Row],[Date]])</f>
        <v>2026</v>
      </c>
      <c r="D344" s="131">
        <f>Table13[[#This Row],[Date]]-DAY(Table13[[#This Row],[Date]])+1</f>
        <v>46082</v>
      </c>
      <c r="E344" s="7">
        <f t="shared" si="20"/>
        <v>31</v>
      </c>
      <c r="F344" s="132" t="str">
        <f>IFERROR(_xlfn.XLOOKUP($A344,'Raw Data'!$G:$G,'Raw Data'!$AM:$AM),"")</f>
        <v/>
      </c>
      <c r="G344" s="133" t="str">
        <f>IFERROR(_xlfn.XLOOKUP($A344,'Raw Data'!$G:$G,'Raw Data'!$AB:$AB),"")</f>
        <v/>
      </c>
      <c r="H344" s="133"/>
      <c r="I344" s="133" t="str">
        <f>IFERROR(_xlfn.XLOOKUP($A344,'Raw Data'!$G:$G,'Raw Data'!$AC:$AC),"")</f>
        <v/>
      </c>
      <c r="J344" s="133"/>
      <c r="K344" s="133" t="str">
        <f>IFERROR(_xlfn.XLOOKUP($A344,'Raw Data'!$G:$G,'Raw Data'!AD:AD),"")</f>
        <v/>
      </c>
      <c r="L344" s="133" t="str">
        <f>IFERROR(_xlfn.XLOOKUP($A344,'Raw Data'!$G:$G,'Raw Data'!AE:AE),"")</f>
        <v/>
      </c>
      <c r="M344" s="133" t="str">
        <f>IFERROR(_xlfn.XLOOKUP($A344,'Raw Data'!$G:$G,'Raw Data'!AF:AF),"")</f>
        <v/>
      </c>
      <c r="N344" s="133" t="str">
        <f>IFERROR(_xlfn.XLOOKUP($A344,'Raw Data'!$G:$G,'Raw Data'!AG:AG),"")</f>
        <v/>
      </c>
      <c r="O344" s="134" t="str">
        <f>IFERROR(1-SUMIF('Plant BD'!$H:$H,$A344,'Plant BD'!$AE:$AE)/($AA344+SUMIF('Plant BD'!$H:$H,$A344,'Plant BD'!$AE:$AE)),"")</f>
        <v/>
      </c>
      <c r="P344" s="134"/>
      <c r="Q344" s="135"/>
      <c r="R344" s="134" t="str">
        <f>IFERROR(1-SUMIF('Grid BD'!$H:$H,$A344,'Grid BD'!$AD:$AD)/($AA344+SUMIF('Grid BD'!$H:$H,$A344,'Grid BD'!$AD:$AD)),"")</f>
        <v/>
      </c>
      <c r="T344" s="135"/>
      <c r="U344" s="136" t="str">
        <f t="shared" si="21"/>
        <v/>
      </c>
      <c r="V344" s="136"/>
      <c r="W344" s="137" t="str">
        <f t="shared" si="22"/>
        <v/>
      </c>
      <c r="X344" s="130" t="str">
        <f>IFERROR(_xlfn.XLOOKUP($A344,'Raw Data'!$G:$G,'Raw Data'!AI:AI),"")</f>
        <v/>
      </c>
      <c r="Y344" s="130" t="str">
        <f>IFERROR(_xlfn.XLOOKUP($A344,'Raw Data'!$G:$G,'Raw Data'!AJ:AJ),"")</f>
        <v/>
      </c>
      <c r="Z344" s="130" t="str">
        <f>IFERROR(_xlfn.XLOOKUP($A344,'Raw Data'!$G:$G,'Raw Data'!AK:AK),"")</f>
        <v/>
      </c>
      <c r="AA344" s="130" t="str">
        <f>IFERROR(_xlfn.XLOOKUP($A344,'Raw Data'!$G:$G,'Raw Data'!AL:AL),"")</f>
        <v/>
      </c>
      <c r="AB344" s="130" t="str">
        <f>IFERROR(_xlfn.XLOOKUP($A344,'Raw Data'!$G:$G,'Raw Data'!H:H),"")</f>
        <v/>
      </c>
      <c r="AC344" s="76">
        <f>IFERROR(_xlfn.XLOOKUP($D344,'Modelling New'!$D:$D,'Modelling New'!P:P),"")</f>
        <v>6.7870967741935484</v>
      </c>
      <c r="AD344" s="130">
        <f>IFERROR(_xlfn.XLOOKUP($D344,'Modelling New'!$D:$D,'Modelling New'!$T:$T)*1000,"")</f>
        <v>38219.028541703687</v>
      </c>
      <c r="AE344" s="138">
        <f>IFERROR(_xlfn.XLOOKUP($D344,'Modelling New'!$D:$D,'Modelling New'!O:O),"")</f>
        <v>0.70205720444645292</v>
      </c>
      <c r="AF344" s="137">
        <f>IFERROR(_xlfn.XLOOKUP($D344,'Modelling New'!$D:$D,'Modelling New'!W:W),"")</f>
        <v>0.19853875781657757</v>
      </c>
      <c r="AG344" s="137">
        <f>IFERROR(_xlfn.XLOOKUP($D344,'Modelling New'!$D:$D,'Modelling New'!AE:AE),"")</f>
        <v>0.98040000000000005</v>
      </c>
      <c r="AH344" s="156">
        <f>IFERROR(_xlfn.XLOOKUP($D344,'Modelling New'!$D:$D,'Modelling New'!AF:AF),"")</f>
        <v>0.98</v>
      </c>
      <c r="AN344" s="134"/>
      <c r="AO344" s="137"/>
      <c r="AP344" s="137"/>
      <c r="AQ344" s="137"/>
      <c r="AR344" s="130">
        <f>'Basic Data'!$B$98/1000</f>
        <v>8.0208999999999993</v>
      </c>
    </row>
    <row r="345" spans="1:44" x14ac:dyDescent="0.3">
      <c r="A345" s="129">
        <f t="shared" si="23"/>
        <v>46088</v>
      </c>
      <c r="B345" s="130">
        <f>YEAR(Table13[[#This Row],[Date]])+IF(MONTH(Table13[[#This Row],[Date]])&gt;=4,1,0)</f>
        <v>2026</v>
      </c>
      <c r="C345" s="7">
        <f>YEAR(Table13[[#This Row],[Date]])</f>
        <v>2026</v>
      </c>
      <c r="D345" s="131">
        <f>Table13[[#This Row],[Date]]-DAY(Table13[[#This Row],[Date]])+1</f>
        <v>46082</v>
      </c>
      <c r="E345" s="7">
        <f t="shared" si="20"/>
        <v>31</v>
      </c>
      <c r="F345" s="132" t="str">
        <f>IFERROR(_xlfn.XLOOKUP($A345,'Raw Data'!$G:$G,'Raw Data'!$AM:$AM),"")</f>
        <v/>
      </c>
      <c r="G345" s="133" t="str">
        <f>IFERROR(_xlfn.XLOOKUP($A345,'Raw Data'!$G:$G,'Raw Data'!$AB:$AB),"")</f>
        <v/>
      </c>
      <c r="H345" s="133"/>
      <c r="I345" s="133" t="str">
        <f>IFERROR(_xlfn.XLOOKUP($A345,'Raw Data'!$G:$G,'Raw Data'!$AC:$AC),"")</f>
        <v/>
      </c>
      <c r="J345" s="133"/>
      <c r="K345" s="133" t="str">
        <f>IFERROR(_xlfn.XLOOKUP($A345,'Raw Data'!$G:$G,'Raw Data'!AD:AD),"")</f>
        <v/>
      </c>
      <c r="L345" s="133" t="str">
        <f>IFERROR(_xlfn.XLOOKUP($A345,'Raw Data'!$G:$G,'Raw Data'!AE:AE),"")</f>
        <v/>
      </c>
      <c r="M345" s="133" t="str">
        <f>IFERROR(_xlfn.XLOOKUP($A345,'Raw Data'!$G:$G,'Raw Data'!AF:AF),"")</f>
        <v/>
      </c>
      <c r="N345" s="133" t="str">
        <f>IFERROR(_xlfn.XLOOKUP($A345,'Raw Data'!$G:$G,'Raw Data'!AG:AG),"")</f>
        <v/>
      </c>
      <c r="O345" s="134" t="str">
        <f>IFERROR(1-SUMIF('Plant BD'!$H:$H,$A345,'Plant BD'!$AE:$AE)/($AA345+SUMIF('Plant BD'!$H:$H,$A345,'Plant BD'!$AE:$AE)),"")</f>
        <v/>
      </c>
      <c r="P345" s="134"/>
      <c r="Q345" s="135"/>
      <c r="R345" s="134" t="str">
        <f>IFERROR(1-SUMIF('Grid BD'!$H:$H,$A345,'Grid BD'!$AD:$AD)/($AA345+SUMIF('Grid BD'!$H:$H,$A345,'Grid BD'!$AD:$AD)),"")</f>
        <v/>
      </c>
      <c r="T345" s="135"/>
      <c r="U345" s="136" t="str">
        <f t="shared" si="21"/>
        <v/>
      </c>
      <c r="V345" s="136"/>
      <c r="W345" s="137" t="str">
        <f t="shared" si="22"/>
        <v/>
      </c>
      <c r="X345" s="130" t="str">
        <f>IFERROR(_xlfn.XLOOKUP($A345,'Raw Data'!$G:$G,'Raw Data'!AI:AI),"")</f>
        <v/>
      </c>
      <c r="Y345" s="130" t="str">
        <f>IFERROR(_xlfn.XLOOKUP($A345,'Raw Data'!$G:$G,'Raw Data'!AJ:AJ),"")</f>
        <v/>
      </c>
      <c r="Z345" s="130" t="str">
        <f>IFERROR(_xlfn.XLOOKUP($A345,'Raw Data'!$G:$G,'Raw Data'!AK:AK),"")</f>
        <v/>
      </c>
      <c r="AA345" s="130" t="str">
        <f>IFERROR(_xlfn.XLOOKUP($A345,'Raw Data'!$G:$G,'Raw Data'!AL:AL),"")</f>
        <v/>
      </c>
      <c r="AB345" s="130" t="str">
        <f>IFERROR(_xlfn.XLOOKUP($A345,'Raw Data'!$G:$G,'Raw Data'!H:H),"")</f>
        <v/>
      </c>
      <c r="AC345" s="76">
        <f>IFERROR(_xlfn.XLOOKUP($D345,'Modelling New'!$D:$D,'Modelling New'!P:P),"")</f>
        <v>6.7870967741935484</v>
      </c>
      <c r="AD345" s="130">
        <f>IFERROR(_xlfn.XLOOKUP($D345,'Modelling New'!$D:$D,'Modelling New'!$T:$T)*1000,"")</f>
        <v>38219.028541703687</v>
      </c>
      <c r="AE345" s="138">
        <f>IFERROR(_xlfn.XLOOKUP($D345,'Modelling New'!$D:$D,'Modelling New'!O:O),"")</f>
        <v>0.70205720444645292</v>
      </c>
      <c r="AF345" s="137">
        <f>IFERROR(_xlfn.XLOOKUP($D345,'Modelling New'!$D:$D,'Modelling New'!W:W),"")</f>
        <v>0.19853875781657757</v>
      </c>
      <c r="AG345" s="137">
        <f>IFERROR(_xlfn.XLOOKUP($D345,'Modelling New'!$D:$D,'Modelling New'!AE:AE),"")</f>
        <v>0.98040000000000005</v>
      </c>
      <c r="AH345" s="156">
        <f>IFERROR(_xlfn.XLOOKUP($D345,'Modelling New'!$D:$D,'Modelling New'!AF:AF),"")</f>
        <v>0.98</v>
      </c>
      <c r="AN345" s="134"/>
      <c r="AO345" s="137"/>
      <c r="AP345" s="137"/>
      <c r="AQ345" s="137"/>
      <c r="AR345" s="130">
        <f>'Basic Data'!$B$98/1000</f>
        <v>8.0208999999999993</v>
      </c>
    </row>
    <row r="346" spans="1:44" x14ac:dyDescent="0.3">
      <c r="A346" s="129">
        <f t="shared" si="23"/>
        <v>46089</v>
      </c>
      <c r="B346" s="130">
        <f>YEAR(Table13[[#This Row],[Date]])+IF(MONTH(Table13[[#This Row],[Date]])&gt;=4,1,0)</f>
        <v>2026</v>
      </c>
      <c r="C346" s="7">
        <f>YEAR(Table13[[#This Row],[Date]])</f>
        <v>2026</v>
      </c>
      <c r="D346" s="131">
        <f>Table13[[#This Row],[Date]]-DAY(Table13[[#This Row],[Date]])+1</f>
        <v>46082</v>
      </c>
      <c r="E346" s="7">
        <f t="shared" si="20"/>
        <v>31</v>
      </c>
      <c r="F346" s="132" t="str">
        <f>IFERROR(_xlfn.XLOOKUP($A346,'Raw Data'!$G:$G,'Raw Data'!$AM:$AM),"")</f>
        <v/>
      </c>
      <c r="G346" s="133" t="str">
        <f>IFERROR(_xlfn.XLOOKUP($A346,'Raw Data'!$G:$G,'Raw Data'!$AB:$AB),"")</f>
        <v/>
      </c>
      <c r="H346" s="133"/>
      <c r="I346" s="133" t="str">
        <f>IFERROR(_xlfn.XLOOKUP($A346,'Raw Data'!$G:$G,'Raw Data'!$AC:$AC),"")</f>
        <v/>
      </c>
      <c r="J346" s="133"/>
      <c r="K346" s="133" t="str">
        <f>IFERROR(_xlfn.XLOOKUP($A346,'Raw Data'!$G:$G,'Raw Data'!AD:AD),"")</f>
        <v/>
      </c>
      <c r="L346" s="133" t="str">
        <f>IFERROR(_xlfn.XLOOKUP($A346,'Raw Data'!$G:$G,'Raw Data'!AE:AE),"")</f>
        <v/>
      </c>
      <c r="M346" s="133" t="str">
        <f>IFERROR(_xlfn.XLOOKUP($A346,'Raw Data'!$G:$G,'Raw Data'!AF:AF),"")</f>
        <v/>
      </c>
      <c r="N346" s="133" t="str">
        <f>IFERROR(_xlfn.XLOOKUP($A346,'Raw Data'!$G:$G,'Raw Data'!AG:AG),"")</f>
        <v/>
      </c>
      <c r="O346" s="134" t="str">
        <f>IFERROR(1-SUMIF('Plant BD'!$H:$H,$A346,'Plant BD'!$AE:$AE)/($AA346+SUMIF('Plant BD'!$H:$H,$A346,'Plant BD'!$AE:$AE)),"")</f>
        <v/>
      </c>
      <c r="P346" s="134"/>
      <c r="Q346" s="135"/>
      <c r="R346" s="134" t="str">
        <f>IFERROR(1-SUMIF('Grid BD'!$H:$H,$A346,'Grid BD'!$AD:$AD)/($AA346+SUMIF('Grid BD'!$H:$H,$A346,'Grid BD'!$AD:$AD)),"")</f>
        <v/>
      </c>
      <c r="T346" s="135"/>
      <c r="U346" s="136" t="str">
        <f t="shared" si="21"/>
        <v/>
      </c>
      <c r="V346" s="136"/>
      <c r="W346" s="137" t="str">
        <f t="shared" si="22"/>
        <v/>
      </c>
      <c r="X346" s="130" t="str">
        <f>IFERROR(_xlfn.XLOOKUP($A346,'Raw Data'!$G:$G,'Raw Data'!AI:AI),"")</f>
        <v/>
      </c>
      <c r="Y346" s="130" t="str">
        <f>IFERROR(_xlfn.XLOOKUP($A346,'Raw Data'!$G:$G,'Raw Data'!AJ:AJ),"")</f>
        <v/>
      </c>
      <c r="Z346" s="130" t="str">
        <f>IFERROR(_xlfn.XLOOKUP($A346,'Raw Data'!$G:$G,'Raw Data'!AK:AK),"")</f>
        <v/>
      </c>
      <c r="AA346" s="130" t="str">
        <f>IFERROR(_xlfn.XLOOKUP($A346,'Raw Data'!$G:$G,'Raw Data'!AL:AL),"")</f>
        <v/>
      </c>
      <c r="AB346" s="130" t="str">
        <f>IFERROR(_xlfn.XLOOKUP($A346,'Raw Data'!$G:$G,'Raw Data'!H:H),"")</f>
        <v/>
      </c>
      <c r="AC346" s="76">
        <f>IFERROR(_xlfn.XLOOKUP($D346,'Modelling New'!$D:$D,'Modelling New'!P:P),"")</f>
        <v>6.7870967741935484</v>
      </c>
      <c r="AD346" s="130">
        <f>IFERROR(_xlfn.XLOOKUP($D346,'Modelling New'!$D:$D,'Modelling New'!$T:$T)*1000,"")</f>
        <v>38219.028541703687</v>
      </c>
      <c r="AE346" s="138">
        <f>IFERROR(_xlfn.XLOOKUP($D346,'Modelling New'!$D:$D,'Modelling New'!O:O),"")</f>
        <v>0.70205720444645292</v>
      </c>
      <c r="AF346" s="137">
        <f>IFERROR(_xlfn.XLOOKUP($D346,'Modelling New'!$D:$D,'Modelling New'!W:W),"")</f>
        <v>0.19853875781657757</v>
      </c>
      <c r="AG346" s="137">
        <f>IFERROR(_xlfn.XLOOKUP($D346,'Modelling New'!$D:$D,'Modelling New'!AE:AE),"")</f>
        <v>0.98040000000000005</v>
      </c>
      <c r="AH346" s="156">
        <f>IFERROR(_xlfn.XLOOKUP($D346,'Modelling New'!$D:$D,'Modelling New'!AF:AF),"")</f>
        <v>0.98</v>
      </c>
      <c r="AN346" s="134"/>
      <c r="AO346" s="137"/>
      <c r="AP346" s="137"/>
      <c r="AQ346" s="137"/>
      <c r="AR346" s="130">
        <f>'Basic Data'!$B$98/1000</f>
        <v>8.0208999999999993</v>
      </c>
    </row>
    <row r="347" spans="1:44" x14ac:dyDescent="0.3">
      <c r="A347" s="129">
        <f t="shared" si="23"/>
        <v>46090</v>
      </c>
      <c r="B347" s="130">
        <f>YEAR(Table13[[#This Row],[Date]])+IF(MONTH(Table13[[#This Row],[Date]])&gt;=4,1,0)</f>
        <v>2026</v>
      </c>
      <c r="C347" s="7">
        <f>YEAR(Table13[[#This Row],[Date]])</f>
        <v>2026</v>
      </c>
      <c r="D347" s="131">
        <f>Table13[[#This Row],[Date]]-DAY(Table13[[#This Row],[Date]])+1</f>
        <v>46082</v>
      </c>
      <c r="E347" s="7">
        <f t="shared" si="20"/>
        <v>31</v>
      </c>
      <c r="F347" s="132" t="str">
        <f>IFERROR(_xlfn.XLOOKUP($A347,'Raw Data'!$G:$G,'Raw Data'!$AM:$AM),"")</f>
        <v/>
      </c>
      <c r="G347" s="133" t="str">
        <f>IFERROR(_xlfn.XLOOKUP($A347,'Raw Data'!$G:$G,'Raw Data'!$AB:$AB),"")</f>
        <v/>
      </c>
      <c r="H347" s="133"/>
      <c r="I347" s="133" t="str">
        <f>IFERROR(_xlfn.XLOOKUP($A347,'Raw Data'!$G:$G,'Raw Data'!$AC:$AC),"")</f>
        <v/>
      </c>
      <c r="J347" s="133"/>
      <c r="K347" s="133" t="str">
        <f>IFERROR(_xlfn.XLOOKUP($A347,'Raw Data'!$G:$G,'Raw Data'!AD:AD),"")</f>
        <v/>
      </c>
      <c r="L347" s="133" t="str">
        <f>IFERROR(_xlfn.XLOOKUP($A347,'Raw Data'!$G:$G,'Raw Data'!AE:AE),"")</f>
        <v/>
      </c>
      <c r="M347" s="133" t="str">
        <f>IFERROR(_xlfn.XLOOKUP($A347,'Raw Data'!$G:$G,'Raw Data'!AF:AF),"")</f>
        <v/>
      </c>
      <c r="N347" s="133" t="str">
        <f>IFERROR(_xlfn.XLOOKUP($A347,'Raw Data'!$G:$G,'Raw Data'!AG:AG),"")</f>
        <v/>
      </c>
      <c r="O347" s="134" t="str">
        <f>IFERROR(1-SUMIF('Plant BD'!$H:$H,$A347,'Plant BD'!$AE:$AE)/($AA347+SUMIF('Plant BD'!$H:$H,$A347,'Plant BD'!$AE:$AE)),"")</f>
        <v/>
      </c>
      <c r="P347" s="134"/>
      <c r="Q347" s="135"/>
      <c r="R347" s="134" t="str">
        <f>IFERROR(1-SUMIF('Grid BD'!$H:$H,$A347,'Grid BD'!$AD:$AD)/($AA347+SUMIF('Grid BD'!$H:$H,$A347,'Grid BD'!$AD:$AD)),"")</f>
        <v/>
      </c>
      <c r="T347" s="135"/>
      <c r="U347" s="136" t="str">
        <f t="shared" si="21"/>
        <v/>
      </c>
      <c r="V347" s="136"/>
      <c r="W347" s="137" t="str">
        <f t="shared" si="22"/>
        <v/>
      </c>
      <c r="X347" s="130" t="str">
        <f>IFERROR(_xlfn.XLOOKUP($A347,'Raw Data'!$G:$G,'Raw Data'!AI:AI),"")</f>
        <v/>
      </c>
      <c r="Y347" s="130" t="str">
        <f>IFERROR(_xlfn.XLOOKUP($A347,'Raw Data'!$G:$G,'Raw Data'!AJ:AJ),"")</f>
        <v/>
      </c>
      <c r="Z347" s="130" t="str">
        <f>IFERROR(_xlfn.XLOOKUP($A347,'Raw Data'!$G:$G,'Raw Data'!AK:AK),"")</f>
        <v/>
      </c>
      <c r="AA347" s="130" t="str">
        <f>IFERROR(_xlfn.XLOOKUP($A347,'Raw Data'!$G:$G,'Raw Data'!AL:AL),"")</f>
        <v/>
      </c>
      <c r="AB347" s="130" t="str">
        <f>IFERROR(_xlfn.XLOOKUP($A347,'Raw Data'!$G:$G,'Raw Data'!H:H),"")</f>
        <v/>
      </c>
      <c r="AC347" s="76">
        <f>IFERROR(_xlfn.XLOOKUP($D347,'Modelling New'!$D:$D,'Modelling New'!P:P),"")</f>
        <v>6.7870967741935484</v>
      </c>
      <c r="AD347" s="130">
        <f>IFERROR(_xlfn.XLOOKUP($D347,'Modelling New'!$D:$D,'Modelling New'!$T:$T)*1000,"")</f>
        <v>38219.028541703687</v>
      </c>
      <c r="AE347" s="138">
        <f>IFERROR(_xlfn.XLOOKUP($D347,'Modelling New'!$D:$D,'Modelling New'!O:O),"")</f>
        <v>0.70205720444645292</v>
      </c>
      <c r="AF347" s="137">
        <f>IFERROR(_xlfn.XLOOKUP($D347,'Modelling New'!$D:$D,'Modelling New'!W:W),"")</f>
        <v>0.19853875781657757</v>
      </c>
      <c r="AG347" s="137">
        <f>IFERROR(_xlfn.XLOOKUP($D347,'Modelling New'!$D:$D,'Modelling New'!AE:AE),"")</f>
        <v>0.98040000000000005</v>
      </c>
      <c r="AH347" s="156">
        <f>IFERROR(_xlfn.XLOOKUP($D347,'Modelling New'!$D:$D,'Modelling New'!AF:AF),"")</f>
        <v>0.98</v>
      </c>
      <c r="AN347" s="134"/>
      <c r="AO347" s="137"/>
      <c r="AP347" s="137"/>
      <c r="AQ347" s="137"/>
      <c r="AR347" s="130">
        <f>'Basic Data'!$B$98/1000</f>
        <v>8.0208999999999993</v>
      </c>
    </row>
    <row r="348" spans="1:44" x14ac:dyDescent="0.3">
      <c r="A348" s="129">
        <f t="shared" si="23"/>
        <v>46091</v>
      </c>
      <c r="B348" s="130">
        <f>YEAR(Table13[[#This Row],[Date]])+IF(MONTH(Table13[[#This Row],[Date]])&gt;=4,1,0)</f>
        <v>2026</v>
      </c>
      <c r="C348" s="7">
        <f>YEAR(Table13[[#This Row],[Date]])</f>
        <v>2026</v>
      </c>
      <c r="D348" s="131">
        <f>Table13[[#This Row],[Date]]-DAY(Table13[[#This Row],[Date]])+1</f>
        <v>46082</v>
      </c>
      <c r="E348" s="7">
        <f t="shared" si="20"/>
        <v>31</v>
      </c>
      <c r="F348" s="132" t="str">
        <f>IFERROR(_xlfn.XLOOKUP($A348,'Raw Data'!$G:$G,'Raw Data'!$AM:$AM),"")</f>
        <v/>
      </c>
      <c r="G348" s="133" t="str">
        <f>IFERROR(_xlfn.XLOOKUP($A348,'Raw Data'!$G:$G,'Raw Data'!$AB:$AB),"")</f>
        <v/>
      </c>
      <c r="H348" s="133"/>
      <c r="I348" s="133" t="str">
        <f>IFERROR(_xlfn.XLOOKUP($A348,'Raw Data'!$G:$G,'Raw Data'!$AC:$AC),"")</f>
        <v/>
      </c>
      <c r="J348" s="133"/>
      <c r="K348" s="133" t="str">
        <f>IFERROR(_xlfn.XLOOKUP($A348,'Raw Data'!$G:$G,'Raw Data'!AD:AD),"")</f>
        <v/>
      </c>
      <c r="L348" s="133" t="str">
        <f>IFERROR(_xlfn.XLOOKUP($A348,'Raw Data'!$G:$G,'Raw Data'!AE:AE),"")</f>
        <v/>
      </c>
      <c r="M348" s="133" t="str">
        <f>IFERROR(_xlfn.XLOOKUP($A348,'Raw Data'!$G:$G,'Raw Data'!AF:AF),"")</f>
        <v/>
      </c>
      <c r="N348" s="133" t="str">
        <f>IFERROR(_xlfn.XLOOKUP($A348,'Raw Data'!$G:$G,'Raw Data'!AG:AG),"")</f>
        <v/>
      </c>
      <c r="O348" s="134" t="str">
        <f>IFERROR(1-SUMIF('Plant BD'!$H:$H,$A348,'Plant BD'!$AE:$AE)/($AA348+SUMIF('Plant BD'!$H:$H,$A348,'Plant BD'!$AE:$AE)),"")</f>
        <v/>
      </c>
      <c r="P348" s="134"/>
      <c r="Q348" s="135"/>
      <c r="R348" s="134" t="str">
        <f>IFERROR(1-SUMIF('Grid BD'!$H:$H,$A348,'Grid BD'!$AD:$AD)/($AA348+SUMIF('Grid BD'!$H:$H,$A348,'Grid BD'!$AD:$AD)),"")</f>
        <v/>
      </c>
      <c r="T348" s="135"/>
      <c r="U348" s="136" t="str">
        <f t="shared" si="21"/>
        <v/>
      </c>
      <c r="V348" s="136"/>
      <c r="W348" s="137" t="str">
        <f t="shared" si="22"/>
        <v/>
      </c>
      <c r="X348" s="130" t="str">
        <f>IFERROR(_xlfn.XLOOKUP($A348,'Raw Data'!$G:$G,'Raw Data'!AI:AI),"")</f>
        <v/>
      </c>
      <c r="Y348" s="130" t="str">
        <f>IFERROR(_xlfn.XLOOKUP($A348,'Raw Data'!$G:$G,'Raw Data'!AJ:AJ),"")</f>
        <v/>
      </c>
      <c r="Z348" s="130" t="str">
        <f>IFERROR(_xlfn.XLOOKUP($A348,'Raw Data'!$G:$G,'Raw Data'!AK:AK),"")</f>
        <v/>
      </c>
      <c r="AA348" s="130" t="str">
        <f>IFERROR(_xlfn.XLOOKUP($A348,'Raw Data'!$G:$G,'Raw Data'!AL:AL),"")</f>
        <v/>
      </c>
      <c r="AB348" s="130" t="str">
        <f>IFERROR(_xlfn.XLOOKUP($A348,'Raw Data'!$G:$G,'Raw Data'!H:H),"")</f>
        <v/>
      </c>
      <c r="AC348" s="76">
        <f>IFERROR(_xlfn.XLOOKUP($D348,'Modelling New'!$D:$D,'Modelling New'!P:P),"")</f>
        <v>6.7870967741935484</v>
      </c>
      <c r="AD348" s="130">
        <f>IFERROR(_xlfn.XLOOKUP($D348,'Modelling New'!$D:$D,'Modelling New'!$T:$T)*1000,"")</f>
        <v>38219.028541703687</v>
      </c>
      <c r="AE348" s="138">
        <f>IFERROR(_xlfn.XLOOKUP($D348,'Modelling New'!$D:$D,'Modelling New'!O:O),"")</f>
        <v>0.70205720444645292</v>
      </c>
      <c r="AF348" s="137">
        <f>IFERROR(_xlfn.XLOOKUP($D348,'Modelling New'!$D:$D,'Modelling New'!W:W),"")</f>
        <v>0.19853875781657757</v>
      </c>
      <c r="AG348" s="137">
        <f>IFERROR(_xlfn.XLOOKUP($D348,'Modelling New'!$D:$D,'Modelling New'!AE:AE),"")</f>
        <v>0.98040000000000005</v>
      </c>
      <c r="AH348" s="156">
        <f>IFERROR(_xlfn.XLOOKUP($D348,'Modelling New'!$D:$D,'Modelling New'!AF:AF),"")</f>
        <v>0.98</v>
      </c>
      <c r="AN348" s="134"/>
      <c r="AO348" s="137"/>
      <c r="AP348" s="137"/>
      <c r="AQ348" s="137"/>
      <c r="AR348" s="130">
        <f>'Basic Data'!$B$98/1000</f>
        <v>8.0208999999999993</v>
      </c>
    </row>
    <row r="349" spans="1:44" x14ac:dyDescent="0.3">
      <c r="A349" s="129">
        <f t="shared" si="23"/>
        <v>46092</v>
      </c>
      <c r="B349" s="130">
        <f>YEAR(Table13[[#This Row],[Date]])+IF(MONTH(Table13[[#This Row],[Date]])&gt;=4,1,0)</f>
        <v>2026</v>
      </c>
      <c r="C349" s="7">
        <f>YEAR(Table13[[#This Row],[Date]])</f>
        <v>2026</v>
      </c>
      <c r="D349" s="131">
        <f>Table13[[#This Row],[Date]]-DAY(Table13[[#This Row],[Date]])+1</f>
        <v>46082</v>
      </c>
      <c r="E349" s="7">
        <f t="shared" si="20"/>
        <v>31</v>
      </c>
      <c r="F349" s="132" t="str">
        <f>IFERROR(_xlfn.XLOOKUP($A349,'Raw Data'!$G:$G,'Raw Data'!$AM:$AM),"")</f>
        <v/>
      </c>
      <c r="G349" s="133" t="str">
        <f>IFERROR(_xlfn.XLOOKUP($A349,'Raw Data'!$G:$G,'Raw Data'!$AB:$AB),"")</f>
        <v/>
      </c>
      <c r="H349" s="133"/>
      <c r="I349" s="133" t="str">
        <f>IFERROR(_xlfn.XLOOKUP($A349,'Raw Data'!$G:$G,'Raw Data'!$AC:$AC),"")</f>
        <v/>
      </c>
      <c r="J349" s="133"/>
      <c r="K349" s="133" t="str">
        <f>IFERROR(_xlfn.XLOOKUP($A349,'Raw Data'!$G:$G,'Raw Data'!AD:AD),"")</f>
        <v/>
      </c>
      <c r="L349" s="133" t="str">
        <f>IFERROR(_xlfn.XLOOKUP($A349,'Raw Data'!$G:$G,'Raw Data'!AE:AE),"")</f>
        <v/>
      </c>
      <c r="M349" s="133" t="str">
        <f>IFERROR(_xlfn.XLOOKUP($A349,'Raw Data'!$G:$G,'Raw Data'!AF:AF),"")</f>
        <v/>
      </c>
      <c r="N349" s="133" t="str">
        <f>IFERROR(_xlfn.XLOOKUP($A349,'Raw Data'!$G:$G,'Raw Data'!AG:AG),"")</f>
        <v/>
      </c>
      <c r="O349" s="134" t="str">
        <f>IFERROR(1-SUMIF('Plant BD'!$H:$H,$A349,'Plant BD'!$AE:$AE)/($AA349+SUMIF('Plant BD'!$H:$H,$A349,'Plant BD'!$AE:$AE)),"")</f>
        <v/>
      </c>
      <c r="P349" s="134"/>
      <c r="Q349" s="135"/>
      <c r="R349" s="134" t="str">
        <f>IFERROR(1-SUMIF('Grid BD'!$H:$H,$A349,'Grid BD'!$AD:$AD)/($AA349+SUMIF('Grid BD'!$H:$H,$A349,'Grid BD'!$AD:$AD)),"")</f>
        <v/>
      </c>
      <c r="T349" s="135"/>
      <c r="U349" s="136" t="str">
        <f t="shared" si="21"/>
        <v/>
      </c>
      <c r="V349" s="136"/>
      <c r="W349" s="137" t="str">
        <f t="shared" si="22"/>
        <v/>
      </c>
      <c r="X349" s="130" t="str">
        <f>IFERROR(_xlfn.XLOOKUP($A349,'Raw Data'!$G:$G,'Raw Data'!AI:AI),"")</f>
        <v/>
      </c>
      <c r="Y349" s="130" t="str">
        <f>IFERROR(_xlfn.XLOOKUP($A349,'Raw Data'!$G:$G,'Raw Data'!AJ:AJ),"")</f>
        <v/>
      </c>
      <c r="Z349" s="130" t="str">
        <f>IFERROR(_xlfn.XLOOKUP($A349,'Raw Data'!$G:$G,'Raw Data'!AK:AK),"")</f>
        <v/>
      </c>
      <c r="AA349" s="130" t="str">
        <f>IFERROR(_xlfn.XLOOKUP($A349,'Raw Data'!$G:$G,'Raw Data'!AL:AL),"")</f>
        <v/>
      </c>
      <c r="AB349" s="130" t="str">
        <f>IFERROR(_xlfn.XLOOKUP($A349,'Raw Data'!$G:$G,'Raw Data'!H:H),"")</f>
        <v/>
      </c>
      <c r="AC349" s="76">
        <f>IFERROR(_xlfn.XLOOKUP($D349,'Modelling New'!$D:$D,'Modelling New'!P:P),"")</f>
        <v>6.7870967741935484</v>
      </c>
      <c r="AD349" s="130">
        <f>IFERROR(_xlfn.XLOOKUP($D349,'Modelling New'!$D:$D,'Modelling New'!$T:$T)*1000,"")</f>
        <v>38219.028541703687</v>
      </c>
      <c r="AE349" s="138">
        <f>IFERROR(_xlfn.XLOOKUP($D349,'Modelling New'!$D:$D,'Modelling New'!O:O),"")</f>
        <v>0.70205720444645292</v>
      </c>
      <c r="AF349" s="137">
        <f>IFERROR(_xlfn.XLOOKUP($D349,'Modelling New'!$D:$D,'Modelling New'!W:W),"")</f>
        <v>0.19853875781657757</v>
      </c>
      <c r="AG349" s="137">
        <f>IFERROR(_xlfn.XLOOKUP($D349,'Modelling New'!$D:$D,'Modelling New'!AE:AE),"")</f>
        <v>0.98040000000000005</v>
      </c>
      <c r="AH349" s="156">
        <f>IFERROR(_xlfn.XLOOKUP($D349,'Modelling New'!$D:$D,'Modelling New'!AF:AF),"")</f>
        <v>0.98</v>
      </c>
      <c r="AN349" s="134"/>
      <c r="AO349" s="137"/>
      <c r="AP349" s="137"/>
      <c r="AQ349" s="137"/>
      <c r="AR349" s="130">
        <f>'Basic Data'!$B$98/1000</f>
        <v>8.0208999999999993</v>
      </c>
    </row>
    <row r="350" spans="1:44" x14ac:dyDescent="0.3">
      <c r="A350" s="129">
        <f t="shared" si="23"/>
        <v>46093</v>
      </c>
      <c r="B350" s="130">
        <f>YEAR(Table13[[#This Row],[Date]])+IF(MONTH(Table13[[#This Row],[Date]])&gt;=4,1,0)</f>
        <v>2026</v>
      </c>
      <c r="C350" s="7">
        <f>YEAR(Table13[[#This Row],[Date]])</f>
        <v>2026</v>
      </c>
      <c r="D350" s="131">
        <f>Table13[[#This Row],[Date]]-DAY(Table13[[#This Row],[Date]])+1</f>
        <v>46082</v>
      </c>
      <c r="E350" s="7">
        <f t="shared" si="20"/>
        <v>31</v>
      </c>
      <c r="F350" s="132" t="str">
        <f>IFERROR(_xlfn.XLOOKUP($A350,'Raw Data'!$G:$G,'Raw Data'!$AM:$AM),"")</f>
        <v/>
      </c>
      <c r="G350" s="133" t="str">
        <f>IFERROR(_xlfn.XLOOKUP($A350,'Raw Data'!$G:$G,'Raw Data'!$AB:$AB),"")</f>
        <v/>
      </c>
      <c r="H350" s="133"/>
      <c r="I350" s="133" t="str">
        <f>IFERROR(_xlfn.XLOOKUP($A350,'Raw Data'!$G:$G,'Raw Data'!$AC:$AC),"")</f>
        <v/>
      </c>
      <c r="J350" s="133"/>
      <c r="K350" s="133" t="str">
        <f>IFERROR(_xlfn.XLOOKUP($A350,'Raw Data'!$G:$G,'Raw Data'!AD:AD),"")</f>
        <v/>
      </c>
      <c r="L350" s="133" t="str">
        <f>IFERROR(_xlfn.XLOOKUP($A350,'Raw Data'!$G:$G,'Raw Data'!AE:AE),"")</f>
        <v/>
      </c>
      <c r="M350" s="133" t="str">
        <f>IFERROR(_xlfn.XLOOKUP($A350,'Raw Data'!$G:$G,'Raw Data'!AF:AF),"")</f>
        <v/>
      </c>
      <c r="N350" s="133" t="str">
        <f>IFERROR(_xlfn.XLOOKUP($A350,'Raw Data'!$G:$G,'Raw Data'!AG:AG),"")</f>
        <v/>
      </c>
      <c r="O350" s="134" t="str">
        <f>IFERROR(1-SUMIF('Plant BD'!$H:$H,$A350,'Plant BD'!$AE:$AE)/($AA350+SUMIF('Plant BD'!$H:$H,$A350,'Plant BD'!$AE:$AE)),"")</f>
        <v/>
      </c>
      <c r="P350" s="134"/>
      <c r="Q350" s="135"/>
      <c r="R350" s="134" t="str">
        <f>IFERROR(1-SUMIF('Grid BD'!$H:$H,$A350,'Grid BD'!$AD:$AD)/($AA350+SUMIF('Grid BD'!$H:$H,$A350,'Grid BD'!$AD:$AD)),"")</f>
        <v/>
      </c>
      <c r="T350" s="135"/>
      <c r="U350" s="136" t="str">
        <f t="shared" si="21"/>
        <v/>
      </c>
      <c r="V350" s="136"/>
      <c r="W350" s="137" t="str">
        <f t="shared" si="22"/>
        <v/>
      </c>
      <c r="X350" s="130" t="str">
        <f>IFERROR(_xlfn.XLOOKUP($A350,'Raw Data'!$G:$G,'Raw Data'!AI:AI),"")</f>
        <v/>
      </c>
      <c r="Y350" s="130" t="str">
        <f>IFERROR(_xlfn.XLOOKUP($A350,'Raw Data'!$G:$G,'Raw Data'!AJ:AJ),"")</f>
        <v/>
      </c>
      <c r="Z350" s="130" t="str">
        <f>IFERROR(_xlfn.XLOOKUP($A350,'Raw Data'!$G:$G,'Raw Data'!AK:AK),"")</f>
        <v/>
      </c>
      <c r="AA350" s="130" t="str">
        <f>IFERROR(_xlfn.XLOOKUP($A350,'Raw Data'!$G:$G,'Raw Data'!AL:AL),"")</f>
        <v/>
      </c>
      <c r="AB350" s="130" t="str">
        <f>IFERROR(_xlfn.XLOOKUP($A350,'Raw Data'!$G:$G,'Raw Data'!H:H),"")</f>
        <v/>
      </c>
      <c r="AC350" s="76">
        <f>IFERROR(_xlfn.XLOOKUP($D350,'Modelling New'!$D:$D,'Modelling New'!P:P),"")</f>
        <v>6.7870967741935484</v>
      </c>
      <c r="AD350" s="130">
        <f>IFERROR(_xlfn.XLOOKUP($D350,'Modelling New'!$D:$D,'Modelling New'!$T:$T)*1000,"")</f>
        <v>38219.028541703687</v>
      </c>
      <c r="AE350" s="138">
        <f>IFERROR(_xlfn.XLOOKUP($D350,'Modelling New'!$D:$D,'Modelling New'!O:O),"")</f>
        <v>0.70205720444645292</v>
      </c>
      <c r="AF350" s="137">
        <f>IFERROR(_xlfn.XLOOKUP($D350,'Modelling New'!$D:$D,'Modelling New'!W:W),"")</f>
        <v>0.19853875781657757</v>
      </c>
      <c r="AG350" s="137">
        <f>IFERROR(_xlfn.XLOOKUP($D350,'Modelling New'!$D:$D,'Modelling New'!AE:AE),"")</f>
        <v>0.98040000000000005</v>
      </c>
      <c r="AH350" s="156">
        <f>IFERROR(_xlfn.XLOOKUP($D350,'Modelling New'!$D:$D,'Modelling New'!AF:AF),"")</f>
        <v>0.98</v>
      </c>
      <c r="AN350" s="134"/>
      <c r="AO350" s="137"/>
      <c r="AP350" s="137"/>
      <c r="AQ350" s="137"/>
      <c r="AR350" s="130">
        <f>'Basic Data'!$B$98/1000</f>
        <v>8.0208999999999993</v>
      </c>
    </row>
    <row r="351" spans="1:44" x14ac:dyDescent="0.3">
      <c r="A351" s="129">
        <f t="shared" si="23"/>
        <v>46094</v>
      </c>
      <c r="B351" s="130">
        <f>YEAR(Table13[[#This Row],[Date]])+IF(MONTH(Table13[[#This Row],[Date]])&gt;=4,1,0)</f>
        <v>2026</v>
      </c>
      <c r="C351" s="7">
        <f>YEAR(Table13[[#This Row],[Date]])</f>
        <v>2026</v>
      </c>
      <c r="D351" s="131">
        <f>Table13[[#This Row],[Date]]-DAY(Table13[[#This Row],[Date]])+1</f>
        <v>46082</v>
      </c>
      <c r="E351" s="7">
        <f t="shared" si="20"/>
        <v>31</v>
      </c>
      <c r="F351" s="132" t="str">
        <f>IFERROR(_xlfn.XLOOKUP($A351,'Raw Data'!$G:$G,'Raw Data'!$AM:$AM),"")</f>
        <v/>
      </c>
      <c r="G351" s="133" t="str">
        <f>IFERROR(_xlfn.XLOOKUP($A351,'Raw Data'!$G:$G,'Raw Data'!$AB:$AB),"")</f>
        <v/>
      </c>
      <c r="H351" s="133"/>
      <c r="I351" s="133" t="str">
        <f>IFERROR(_xlfn.XLOOKUP($A351,'Raw Data'!$G:$G,'Raw Data'!$AC:$AC),"")</f>
        <v/>
      </c>
      <c r="J351" s="133"/>
      <c r="K351" s="133" t="str">
        <f>IFERROR(_xlfn.XLOOKUP($A351,'Raw Data'!$G:$G,'Raw Data'!AD:AD),"")</f>
        <v/>
      </c>
      <c r="L351" s="133" t="str">
        <f>IFERROR(_xlfn.XLOOKUP($A351,'Raw Data'!$G:$G,'Raw Data'!AE:AE),"")</f>
        <v/>
      </c>
      <c r="M351" s="133" t="str">
        <f>IFERROR(_xlfn.XLOOKUP($A351,'Raw Data'!$G:$G,'Raw Data'!AF:AF),"")</f>
        <v/>
      </c>
      <c r="N351" s="133" t="str">
        <f>IFERROR(_xlfn.XLOOKUP($A351,'Raw Data'!$G:$G,'Raw Data'!AG:AG),"")</f>
        <v/>
      </c>
      <c r="O351" s="134" t="str">
        <f>IFERROR(1-SUMIF('Plant BD'!$H:$H,$A351,'Plant BD'!$AE:$AE)/($AA351+SUMIF('Plant BD'!$H:$H,$A351,'Plant BD'!$AE:$AE)),"")</f>
        <v/>
      </c>
      <c r="P351" s="134"/>
      <c r="Q351" s="135"/>
      <c r="R351" s="134" t="str">
        <f>IFERROR(1-SUMIF('Grid BD'!$H:$H,$A351,'Grid BD'!$AD:$AD)/($AA351+SUMIF('Grid BD'!$H:$H,$A351,'Grid BD'!$AD:$AD)),"")</f>
        <v/>
      </c>
      <c r="T351" s="135"/>
      <c r="U351" s="136" t="str">
        <f t="shared" si="21"/>
        <v/>
      </c>
      <c r="V351" s="136"/>
      <c r="W351" s="137" t="str">
        <f t="shared" si="22"/>
        <v/>
      </c>
      <c r="X351" s="130" t="str">
        <f>IFERROR(_xlfn.XLOOKUP($A351,'Raw Data'!$G:$G,'Raw Data'!AI:AI),"")</f>
        <v/>
      </c>
      <c r="Y351" s="130" t="str">
        <f>IFERROR(_xlfn.XLOOKUP($A351,'Raw Data'!$G:$G,'Raw Data'!AJ:AJ),"")</f>
        <v/>
      </c>
      <c r="Z351" s="130" t="str">
        <f>IFERROR(_xlfn.XLOOKUP($A351,'Raw Data'!$G:$G,'Raw Data'!AK:AK),"")</f>
        <v/>
      </c>
      <c r="AA351" s="130" t="str">
        <f>IFERROR(_xlfn.XLOOKUP($A351,'Raw Data'!$G:$G,'Raw Data'!AL:AL),"")</f>
        <v/>
      </c>
      <c r="AB351" s="130" t="str">
        <f>IFERROR(_xlfn.XLOOKUP($A351,'Raw Data'!$G:$G,'Raw Data'!H:H),"")</f>
        <v/>
      </c>
      <c r="AC351" s="76">
        <f>IFERROR(_xlfn.XLOOKUP($D351,'Modelling New'!$D:$D,'Modelling New'!P:P),"")</f>
        <v>6.7870967741935484</v>
      </c>
      <c r="AD351" s="130">
        <f>IFERROR(_xlfn.XLOOKUP($D351,'Modelling New'!$D:$D,'Modelling New'!$T:$T)*1000,"")</f>
        <v>38219.028541703687</v>
      </c>
      <c r="AE351" s="138">
        <f>IFERROR(_xlfn.XLOOKUP($D351,'Modelling New'!$D:$D,'Modelling New'!O:O),"")</f>
        <v>0.70205720444645292</v>
      </c>
      <c r="AF351" s="137">
        <f>IFERROR(_xlfn.XLOOKUP($D351,'Modelling New'!$D:$D,'Modelling New'!W:W),"")</f>
        <v>0.19853875781657757</v>
      </c>
      <c r="AG351" s="137">
        <f>IFERROR(_xlfn.XLOOKUP($D351,'Modelling New'!$D:$D,'Modelling New'!AE:AE),"")</f>
        <v>0.98040000000000005</v>
      </c>
      <c r="AH351" s="156">
        <f>IFERROR(_xlfn.XLOOKUP($D351,'Modelling New'!$D:$D,'Modelling New'!AF:AF),"")</f>
        <v>0.98</v>
      </c>
      <c r="AN351" s="134"/>
      <c r="AO351" s="137"/>
      <c r="AP351" s="137"/>
      <c r="AQ351" s="137"/>
      <c r="AR351" s="130">
        <f>'Basic Data'!$B$98/1000</f>
        <v>8.0208999999999993</v>
      </c>
    </row>
    <row r="352" spans="1:44" x14ac:dyDescent="0.3">
      <c r="A352" s="129">
        <f t="shared" si="23"/>
        <v>46095</v>
      </c>
      <c r="B352" s="130">
        <f>YEAR(Table13[[#This Row],[Date]])+IF(MONTH(Table13[[#This Row],[Date]])&gt;=4,1,0)</f>
        <v>2026</v>
      </c>
      <c r="C352" s="7">
        <f>YEAR(Table13[[#This Row],[Date]])</f>
        <v>2026</v>
      </c>
      <c r="D352" s="131">
        <f>Table13[[#This Row],[Date]]-DAY(Table13[[#This Row],[Date]])+1</f>
        <v>46082</v>
      </c>
      <c r="E352" s="7">
        <f t="shared" si="20"/>
        <v>31</v>
      </c>
      <c r="F352" s="132" t="str">
        <f>IFERROR(_xlfn.XLOOKUP($A352,'Raw Data'!$G:$G,'Raw Data'!$AM:$AM),"")</f>
        <v/>
      </c>
      <c r="G352" s="133" t="str">
        <f>IFERROR(_xlfn.XLOOKUP($A352,'Raw Data'!$G:$G,'Raw Data'!$AB:$AB),"")</f>
        <v/>
      </c>
      <c r="H352" s="133"/>
      <c r="I352" s="133" t="str">
        <f>IFERROR(_xlfn.XLOOKUP($A352,'Raw Data'!$G:$G,'Raw Data'!$AC:$AC),"")</f>
        <v/>
      </c>
      <c r="J352" s="133"/>
      <c r="K352" s="133" t="str">
        <f>IFERROR(_xlfn.XLOOKUP($A352,'Raw Data'!$G:$G,'Raw Data'!AD:AD),"")</f>
        <v/>
      </c>
      <c r="L352" s="133" t="str">
        <f>IFERROR(_xlfn.XLOOKUP($A352,'Raw Data'!$G:$G,'Raw Data'!AE:AE),"")</f>
        <v/>
      </c>
      <c r="M352" s="133" t="str">
        <f>IFERROR(_xlfn.XLOOKUP($A352,'Raw Data'!$G:$G,'Raw Data'!AF:AF),"")</f>
        <v/>
      </c>
      <c r="N352" s="133" t="str">
        <f>IFERROR(_xlfn.XLOOKUP($A352,'Raw Data'!$G:$G,'Raw Data'!AG:AG),"")</f>
        <v/>
      </c>
      <c r="O352" s="134" t="str">
        <f>IFERROR(1-SUMIF('Plant BD'!$H:$H,$A352,'Plant BD'!$AE:$AE)/($AA352+SUMIF('Plant BD'!$H:$H,$A352,'Plant BD'!$AE:$AE)),"")</f>
        <v/>
      </c>
      <c r="P352" s="134"/>
      <c r="Q352" s="135"/>
      <c r="R352" s="134" t="str">
        <f>IFERROR(1-SUMIF('Grid BD'!$H:$H,$A352,'Grid BD'!$AD:$AD)/($AA352+SUMIF('Grid BD'!$H:$H,$A352,'Grid BD'!$AD:$AD)),"")</f>
        <v/>
      </c>
      <c r="T352" s="135"/>
      <c r="U352" s="136" t="str">
        <f t="shared" si="21"/>
        <v/>
      </c>
      <c r="V352" s="136"/>
      <c r="W352" s="137" t="str">
        <f t="shared" si="22"/>
        <v/>
      </c>
      <c r="X352" s="130" t="str">
        <f>IFERROR(_xlfn.XLOOKUP($A352,'Raw Data'!$G:$G,'Raw Data'!AI:AI),"")</f>
        <v/>
      </c>
      <c r="Y352" s="130" t="str">
        <f>IFERROR(_xlfn.XLOOKUP($A352,'Raw Data'!$G:$G,'Raw Data'!AJ:AJ),"")</f>
        <v/>
      </c>
      <c r="Z352" s="130" t="str">
        <f>IFERROR(_xlfn.XLOOKUP($A352,'Raw Data'!$G:$G,'Raw Data'!AK:AK),"")</f>
        <v/>
      </c>
      <c r="AA352" s="130" t="str">
        <f>IFERROR(_xlfn.XLOOKUP($A352,'Raw Data'!$G:$G,'Raw Data'!AL:AL),"")</f>
        <v/>
      </c>
      <c r="AB352" s="130" t="str">
        <f>IFERROR(_xlfn.XLOOKUP($A352,'Raw Data'!$G:$G,'Raw Data'!H:H),"")</f>
        <v/>
      </c>
      <c r="AC352" s="76">
        <f>IFERROR(_xlfn.XLOOKUP($D352,'Modelling New'!$D:$D,'Modelling New'!P:P),"")</f>
        <v>6.7870967741935484</v>
      </c>
      <c r="AD352" s="130">
        <f>IFERROR(_xlfn.XLOOKUP($D352,'Modelling New'!$D:$D,'Modelling New'!$T:$T)*1000,"")</f>
        <v>38219.028541703687</v>
      </c>
      <c r="AE352" s="138">
        <f>IFERROR(_xlfn.XLOOKUP($D352,'Modelling New'!$D:$D,'Modelling New'!O:O),"")</f>
        <v>0.70205720444645292</v>
      </c>
      <c r="AF352" s="137">
        <f>IFERROR(_xlfn.XLOOKUP($D352,'Modelling New'!$D:$D,'Modelling New'!W:W),"")</f>
        <v>0.19853875781657757</v>
      </c>
      <c r="AG352" s="137">
        <f>IFERROR(_xlfn.XLOOKUP($D352,'Modelling New'!$D:$D,'Modelling New'!AE:AE),"")</f>
        <v>0.98040000000000005</v>
      </c>
      <c r="AH352" s="156">
        <f>IFERROR(_xlfn.XLOOKUP($D352,'Modelling New'!$D:$D,'Modelling New'!AF:AF),"")</f>
        <v>0.98</v>
      </c>
      <c r="AN352" s="134"/>
      <c r="AO352" s="137"/>
      <c r="AP352" s="137"/>
      <c r="AQ352" s="137"/>
      <c r="AR352" s="130">
        <f>'Basic Data'!$B$98/1000</f>
        <v>8.0208999999999993</v>
      </c>
    </row>
    <row r="353" spans="1:44" x14ac:dyDescent="0.3">
      <c r="A353" s="129">
        <f t="shared" si="23"/>
        <v>46096</v>
      </c>
      <c r="B353" s="130">
        <f>YEAR(Table13[[#This Row],[Date]])+IF(MONTH(Table13[[#This Row],[Date]])&gt;=4,1,0)</f>
        <v>2026</v>
      </c>
      <c r="C353" s="7">
        <f>YEAR(Table13[[#This Row],[Date]])</f>
        <v>2026</v>
      </c>
      <c r="D353" s="131">
        <f>Table13[[#This Row],[Date]]-DAY(Table13[[#This Row],[Date]])+1</f>
        <v>46082</v>
      </c>
      <c r="E353" s="7">
        <f t="shared" si="20"/>
        <v>31</v>
      </c>
      <c r="F353" s="132" t="str">
        <f>IFERROR(_xlfn.XLOOKUP($A353,'Raw Data'!$G:$G,'Raw Data'!$AM:$AM),"")</f>
        <v/>
      </c>
      <c r="G353" s="133" t="str">
        <f>IFERROR(_xlfn.XLOOKUP($A353,'Raw Data'!$G:$G,'Raw Data'!$AB:$AB),"")</f>
        <v/>
      </c>
      <c r="H353" s="133"/>
      <c r="I353" s="133" t="str">
        <f>IFERROR(_xlfn.XLOOKUP($A353,'Raw Data'!$G:$G,'Raw Data'!$AC:$AC),"")</f>
        <v/>
      </c>
      <c r="J353" s="133"/>
      <c r="K353" s="133" t="str">
        <f>IFERROR(_xlfn.XLOOKUP($A353,'Raw Data'!$G:$G,'Raw Data'!AD:AD),"")</f>
        <v/>
      </c>
      <c r="L353" s="133" t="str">
        <f>IFERROR(_xlfn.XLOOKUP($A353,'Raw Data'!$G:$G,'Raw Data'!AE:AE),"")</f>
        <v/>
      </c>
      <c r="M353" s="133" t="str">
        <f>IFERROR(_xlfn.XLOOKUP($A353,'Raw Data'!$G:$G,'Raw Data'!AF:AF),"")</f>
        <v/>
      </c>
      <c r="N353" s="133" t="str">
        <f>IFERROR(_xlfn.XLOOKUP($A353,'Raw Data'!$G:$G,'Raw Data'!AG:AG),"")</f>
        <v/>
      </c>
      <c r="O353" s="134" t="str">
        <f>IFERROR(1-SUMIF('Plant BD'!$H:$H,$A353,'Plant BD'!$AE:$AE)/($AA353+SUMIF('Plant BD'!$H:$H,$A353,'Plant BD'!$AE:$AE)),"")</f>
        <v/>
      </c>
      <c r="P353" s="134"/>
      <c r="Q353" s="135"/>
      <c r="R353" s="134" t="str">
        <f>IFERROR(1-SUMIF('Grid BD'!$H:$H,$A353,'Grid BD'!$AD:$AD)/($AA353+SUMIF('Grid BD'!$H:$H,$A353,'Grid BD'!$AD:$AD)),"")</f>
        <v/>
      </c>
      <c r="T353" s="135"/>
      <c r="U353" s="136" t="str">
        <f t="shared" si="21"/>
        <v/>
      </c>
      <c r="V353" s="136"/>
      <c r="W353" s="137" t="str">
        <f t="shared" si="22"/>
        <v/>
      </c>
      <c r="X353" s="130" t="str">
        <f>IFERROR(_xlfn.XLOOKUP($A353,'Raw Data'!$G:$G,'Raw Data'!AI:AI),"")</f>
        <v/>
      </c>
      <c r="Y353" s="130" t="str">
        <f>IFERROR(_xlfn.XLOOKUP($A353,'Raw Data'!$G:$G,'Raw Data'!AJ:AJ),"")</f>
        <v/>
      </c>
      <c r="Z353" s="130" t="str">
        <f>IFERROR(_xlfn.XLOOKUP($A353,'Raw Data'!$G:$G,'Raw Data'!AK:AK),"")</f>
        <v/>
      </c>
      <c r="AA353" s="130" t="str">
        <f>IFERROR(_xlfn.XLOOKUP($A353,'Raw Data'!$G:$G,'Raw Data'!AL:AL),"")</f>
        <v/>
      </c>
      <c r="AB353" s="130" t="str">
        <f>IFERROR(_xlfn.XLOOKUP($A353,'Raw Data'!$G:$G,'Raw Data'!H:H),"")</f>
        <v/>
      </c>
      <c r="AC353" s="76">
        <f>IFERROR(_xlfn.XLOOKUP($D353,'Modelling New'!$D:$D,'Modelling New'!P:P),"")</f>
        <v>6.7870967741935484</v>
      </c>
      <c r="AD353" s="130">
        <f>IFERROR(_xlfn.XLOOKUP($D353,'Modelling New'!$D:$D,'Modelling New'!$T:$T)*1000,"")</f>
        <v>38219.028541703687</v>
      </c>
      <c r="AE353" s="138">
        <f>IFERROR(_xlfn.XLOOKUP($D353,'Modelling New'!$D:$D,'Modelling New'!O:O),"")</f>
        <v>0.70205720444645292</v>
      </c>
      <c r="AF353" s="137">
        <f>IFERROR(_xlfn.XLOOKUP($D353,'Modelling New'!$D:$D,'Modelling New'!W:W),"")</f>
        <v>0.19853875781657757</v>
      </c>
      <c r="AG353" s="137">
        <f>IFERROR(_xlfn.XLOOKUP($D353,'Modelling New'!$D:$D,'Modelling New'!AE:AE),"")</f>
        <v>0.98040000000000005</v>
      </c>
      <c r="AH353" s="156">
        <f>IFERROR(_xlfn.XLOOKUP($D353,'Modelling New'!$D:$D,'Modelling New'!AF:AF),"")</f>
        <v>0.98</v>
      </c>
      <c r="AN353" s="134"/>
      <c r="AO353" s="137"/>
      <c r="AP353" s="137"/>
      <c r="AQ353" s="137"/>
      <c r="AR353" s="130">
        <f>'Basic Data'!$B$98/1000</f>
        <v>8.0208999999999993</v>
      </c>
    </row>
    <row r="354" spans="1:44" x14ac:dyDescent="0.3">
      <c r="A354" s="129">
        <f t="shared" si="23"/>
        <v>46097</v>
      </c>
      <c r="B354" s="130">
        <f>YEAR(Table13[[#This Row],[Date]])+IF(MONTH(Table13[[#This Row],[Date]])&gt;=4,1,0)</f>
        <v>2026</v>
      </c>
      <c r="C354" s="7">
        <f>YEAR(Table13[[#This Row],[Date]])</f>
        <v>2026</v>
      </c>
      <c r="D354" s="131">
        <f>Table13[[#This Row],[Date]]-DAY(Table13[[#This Row],[Date]])+1</f>
        <v>46082</v>
      </c>
      <c r="E354" s="7">
        <f t="shared" si="20"/>
        <v>31</v>
      </c>
      <c r="F354" s="132" t="str">
        <f>IFERROR(_xlfn.XLOOKUP($A354,'Raw Data'!$G:$G,'Raw Data'!$AM:$AM),"")</f>
        <v/>
      </c>
      <c r="G354" s="133" t="str">
        <f>IFERROR(_xlfn.XLOOKUP($A354,'Raw Data'!$G:$G,'Raw Data'!$AB:$AB),"")</f>
        <v/>
      </c>
      <c r="H354" s="133"/>
      <c r="I354" s="133" t="str">
        <f>IFERROR(_xlfn.XLOOKUP($A354,'Raw Data'!$G:$G,'Raw Data'!$AC:$AC),"")</f>
        <v/>
      </c>
      <c r="J354" s="133"/>
      <c r="K354" s="133" t="str">
        <f>IFERROR(_xlfn.XLOOKUP($A354,'Raw Data'!$G:$G,'Raw Data'!AD:AD),"")</f>
        <v/>
      </c>
      <c r="L354" s="133" t="str">
        <f>IFERROR(_xlfn.XLOOKUP($A354,'Raw Data'!$G:$G,'Raw Data'!AE:AE),"")</f>
        <v/>
      </c>
      <c r="M354" s="133" t="str">
        <f>IFERROR(_xlfn.XLOOKUP($A354,'Raw Data'!$G:$G,'Raw Data'!AF:AF),"")</f>
        <v/>
      </c>
      <c r="N354" s="133" t="str">
        <f>IFERROR(_xlfn.XLOOKUP($A354,'Raw Data'!$G:$G,'Raw Data'!AG:AG),"")</f>
        <v/>
      </c>
      <c r="O354" s="134" t="str">
        <f>IFERROR(1-SUMIF('Plant BD'!$H:$H,$A354,'Plant BD'!$AE:$AE)/($AA354+SUMIF('Plant BD'!$H:$H,$A354,'Plant BD'!$AE:$AE)),"")</f>
        <v/>
      </c>
      <c r="P354" s="134"/>
      <c r="Q354" s="135"/>
      <c r="R354" s="134" t="str">
        <f>IFERROR(1-SUMIF('Grid BD'!$H:$H,$A354,'Grid BD'!$AD:$AD)/($AA354+SUMIF('Grid BD'!$H:$H,$A354,'Grid BD'!$AD:$AD)),"")</f>
        <v/>
      </c>
      <c r="T354" s="135"/>
      <c r="U354" s="136" t="str">
        <f t="shared" si="21"/>
        <v/>
      </c>
      <c r="V354" s="136"/>
      <c r="W354" s="137" t="str">
        <f t="shared" si="22"/>
        <v/>
      </c>
      <c r="X354" s="130" t="str">
        <f>IFERROR(_xlfn.XLOOKUP($A354,'Raw Data'!$G:$G,'Raw Data'!AI:AI),"")</f>
        <v/>
      </c>
      <c r="Y354" s="130" t="str">
        <f>IFERROR(_xlfn.XLOOKUP($A354,'Raw Data'!$G:$G,'Raw Data'!AJ:AJ),"")</f>
        <v/>
      </c>
      <c r="Z354" s="130" t="str">
        <f>IFERROR(_xlfn.XLOOKUP($A354,'Raw Data'!$G:$G,'Raw Data'!AK:AK),"")</f>
        <v/>
      </c>
      <c r="AA354" s="130" t="str">
        <f>IFERROR(_xlfn.XLOOKUP($A354,'Raw Data'!$G:$G,'Raw Data'!AL:AL),"")</f>
        <v/>
      </c>
      <c r="AB354" s="130" t="str">
        <f>IFERROR(_xlfn.XLOOKUP($A354,'Raw Data'!$G:$G,'Raw Data'!H:H),"")</f>
        <v/>
      </c>
      <c r="AC354" s="76">
        <f>IFERROR(_xlfn.XLOOKUP($D354,'Modelling New'!$D:$D,'Modelling New'!P:P),"")</f>
        <v>6.7870967741935484</v>
      </c>
      <c r="AD354" s="130">
        <f>IFERROR(_xlfn.XLOOKUP($D354,'Modelling New'!$D:$D,'Modelling New'!$T:$T)*1000,"")</f>
        <v>38219.028541703687</v>
      </c>
      <c r="AE354" s="138">
        <f>IFERROR(_xlfn.XLOOKUP($D354,'Modelling New'!$D:$D,'Modelling New'!O:O),"")</f>
        <v>0.70205720444645292</v>
      </c>
      <c r="AF354" s="137">
        <f>IFERROR(_xlfn.XLOOKUP($D354,'Modelling New'!$D:$D,'Modelling New'!W:W),"")</f>
        <v>0.19853875781657757</v>
      </c>
      <c r="AG354" s="137">
        <f>IFERROR(_xlfn.XLOOKUP($D354,'Modelling New'!$D:$D,'Modelling New'!AE:AE),"")</f>
        <v>0.98040000000000005</v>
      </c>
      <c r="AH354" s="156">
        <f>IFERROR(_xlfn.XLOOKUP($D354,'Modelling New'!$D:$D,'Modelling New'!AF:AF),"")</f>
        <v>0.98</v>
      </c>
      <c r="AN354" s="134"/>
      <c r="AO354" s="137"/>
      <c r="AP354" s="137"/>
      <c r="AQ354" s="137"/>
      <c r="AR354" s="130">
        <f>'Basic Data'!$B$98/1000</f>
        <v>8.0208999999999993</v>
      </c>
    </row>
    <row r="355" spans="1:44" x14ac:dyDescent="0.3">
      <c r="A355" s="129">
        <f t="shared" si="23"/>
        <v>46098</v>
      </c>
      <c r="B355" s="130">
        <f>YEAR(Table13[[#This Row],[Date]])+IF(MONTH(Table13[[#This Row],[Date]])&gt;=4,1,0)</f>
        <v>2026</v>
      </c>
      <c r="C355" s="7">
        <f>YEAR(Table13[[#This Row],[Date]])</f>
        <v>2026</v>
      </c>
      <c r="D355" s="131">
        <f>Table13[[#This Row],[Date]]-DAY(Table13[[#This Row],[Date]])+1</f>
        <v>46082</v>
      </c>
      <c r="E355" s="7">
        <f t="shared" si="20"/>
        <v>31</v>
      </c>
      <c r="F355" s="132" t="str">
        <f>IFERROR(_xlfn.XLOOKUP($A355,'Raw Data'!$G:$G,'Raw Data'!$AM:$AM),"")</f>
        <v/>
      </c>
      <c r="G355" s="133" t="str">
        <f>IFERROR(_xlfn.XLOOKUP($A355,'Raw Data'!$G:$G,'Raw Data'!$AB:$AB),"")</f>
        <v/>
      </c>
      <c r="H355" s="133"/>
      <c r="I355" s="133" t="str">
        <f>IFERROR(_xlfn.XLOOKUP($A355,'Raw Data'!$G:$G,'Raw Data'!$AC:$AC),"")</f>
        <v/>
      </c>
      <c r="J355" s="133"/>
      <c r="K355" s="133" t="str">
        <f>IFERROR(_xlfn.XLOOKUP($A355,'Raw Data'!$G:$G,'Raw Data'!AD:AD),"")</f>
        <v/>
      </c>
      <c r="L355" s="133" t="str">
        <f>IFERROR(_xlfn.XLOOKUP($A355,'Raw Data'!$G:$G,'Raw Data'!AE:AE),"")</f>
        <v/>
      </c>
      <c r="M355" s="133" t="str">
        <f>IFERROR(_xlfn.XLOOKUP($A355,'Raw Data'!$G:$G,'Raw Data'!AF:AF),"")</f>
        <v/>
      </c>
      <c r="N355" s="133" t="str">
        <f>IFERROR(_xlfn.XLOOKUP($A355,'Raw Data'!$G:$G,'Raw Data'!AG:AG),"")</f>
        <v/>
      </c>
      <c r="O355" s="134" t="str">
        <f>IFERROR(1-SUMIF('Plant BD'!$H:$H,$A355,'Plant BD'!$AE:$AE)/($AA355+SUMIF('Plant BD'!$H:$H,$A355,'Plant BD'!$AE:$AE)),"")</f>
        <v/>
      </c>
      <c r="P355" s="134"/>
      <c r="Q355" s="135"/>
      <c r="R355" s="134" t="str">
        <f>IFERROR(1-SUMIF('Grid BD'!$H:$H,$A355,'Grid BD'!$AD:$AD)/($AA355+SUMIF('Grid BD'!$H:$H,$A355,'Grid BD'!$AD:$AD)),"")</f>
        <v/>
      </c>
      <c r="T355" s="135"/>
      <c r="U355" s="136" t="str">
        <f t="shared" si="21"/>
        <v/>
      </c>
      <c r="V355" s="136"/>
      <c r="W355" s="137" t="str">
        <f t="shared" si="22"/>
        <v/>
      </c>
      <c r="X355" s="130" t="str">
        <f>IFERROR(_xlfn.XLOOKUP($A355,'Raw Data'!$G:$G,'Raw Data'!AI:AI),"")</f>
        <v/>
      </c>
      <c r="Y355" s="130" t="str">
        <f>IFERROR(_xlfn.XLOOKUP($A355,'Raw Data'!$G:$G,'Raw Data'!AJ:AJ),"")</f>
        <v/>
      </c>
      <c r="Z355" s="130" t="str">
        <f>IFERROR(_xlfn.XLOOKUP($A355,'Raw Data'!$G:$G,'Raw Data'!AK:AK),"")</f>
        <v/>
      </c>
      <c r="AA355" s="130" t="str">
        <f>IFERROR(_xlfn.XLOOKUP($A355,'Raw Data'!$G:$G,'Raw Data'!AL:AL),"")</f>
        <v/>
      </c>
      <c r="AB355" s="130" t="str">
        <f>IFERROR(_xlfn.XLOOKUP($A355,'Raw Data'!$G:$G,'Raw Data'!H:H),"")</f>
        <v/>
      </c>
      <c r="AC355" s="76">
        <f>IFERROR(_xlfn.XLOOKUP($D355,'Modelling New'!$D:$D,'Modelling New'!P:P),"")</f>
        <v>6.7870967741935484</v>
      </c>
      <c r="AD355" s="130">
        <f>IFERROR(_xlfn.XLOOKUP($D355,'Modelling New'!$D:$D,'Modelling New'!$T:$T)*1000,"")</f>
        <v>38219.028541703687</v>
      </c>
      <c r="AE355" s="138">
        <f>IFERROR(_xlfn.XLOOKUP($D355,'Modelling New'!$D:$D,'Modelling New'!O:O),"")</f>
        <v>0.70205720444645292</v>
      </c>
      <c r="AF355" s="137">
        <f>IFERROR(_xlfn.XLOOKUP($D355,'Modelling New'!$D:$D,'Modelling New'!W:W),"")</f>
        <v>0.19853875781657757</v>
      </c>
      <c r="AG355" s="137">
        <f>IFERROR(_xlfn.XLOOKUP($D355,'Modelling New'!$D:$D,'Modelling New'!AE:AE),"")</f>
        <v>0.98040000000000005</v>
      </c>
      <c r="AH355" s="156">
        <f>IFERROR(_xlfn.XLOOKUP($D355,'Modelling New'!$D:$D,'Modelling New'!AF:AF),"")</f>
        <v>0.98</v>
      </c>
      <c r="AN355" s="134"/>
      <c r="AO355" s="137"/>
      <c r="AP355" s="137"/>
      <c r="AQ355" s="137"/>
      <c r="AR355" s="130">
        <f>'Basic Data'!$B$98/1000</f>
        <v>8.0208999999999993</v>
      </c>
    </row>
    <row r="356" spans="1:44" x14ac:dyDescent="0.3">
      <c r="A356" s="129">
        <f t="shared" si="23"/>
        <v>46099</v>
      </c>
      <c r="B356" s="130">
        <f>YEAR(Table13[[#This Row],[Date]])+IF(MONTH(Table13[[#This Row],[Date]])&gt;=4,1,0)</f>
        <v>2026</v>
      </c>
      <c r="C356" s="7">
        <f>YEAR(Table13[[#This Row],[Date]])</f>
        <v>2026</v>
      </c>
      <c r="D356" s="131">
        <f>Table13[[#This Row],[Date]]-DAY(Table13[[#This Row],[Date]])+1</f>
        <v>46082</v>
      </c>
      <c r="E356" s="7">
        <f t="shared" si="20"/>
        <v>31</v>
      </c>
      <c r="F356" s="132" t="str">
        <f>IFERROR(_xlfn.XLOOKUP($A356,'Raw Data'!$G:$G,'Raw Data'!$AM:$AM),"")</f>
        <v/>
      </c>
      <c r="G356" s="133" t="str">
        <f>IFERROR(_xlfn.XLOOKUP($A356,'Raw Data'!$G:$G,'Raw Data'!$AB:$AB),"")</f>
        <v/>
      </c>
      <c r="H356" s="133"/>
      <c r="I356" s="133" t="str">
        <f>IFERROR(_xlfn.XLOOKUP($A356,'Raw Data'!$G:$G,'Raw Data'!$AC:$AC),"")</f>
        <v/>
      </c>
      <c r="J356" s="133"/>
      <c r="K356" s="133" t="str">
        <f>IFERROR(_xlfn.XLOOKUP($A356,'Raw Data'!$G:$G,'Raw Data'!AD:AD),"")</f>
        <v/>
      </c>
      <c r="L356" s="133" t="str">
        <f>IFERROR(_xlfn.XLOOKUP($A356,'Raw Data'!$G:$G,'Raw Data'!AE:AE),"")</f>
        <v/>
      </c>
      <c r="M356" s="133" t="str">
        <f>IFERROR(_xlfn.XLOOKUP($A356,'Raw Data'!$G:$G,'Raw Data'!AF:AF),"")</f>
        <v/>
      </c>
      <c r="N356" s="133" t="str">
        <f>IFERROR(_xlfn.XLOOKUP($A356,'Raw Data'!$G:$G,'Raw Data'!AG:AG),"")</f>
        <v/>
      </c>
      <c r="O356" s="134" t="str">
        <f>IFERROR(1-SUMIF('Plant BD'!$H:$H,$A356,'Plant BD'!$AE:$AE)/($AA356+SUMIF('Plant BD'!$H:$H,$A356,'Plant BD'!$AE:$AE)),"")</f>
        <v/>
      </c>
      <c r="P356" s="134"/>
      <c r="Q356" s="135"/>
      <c r="R356" s="134" t="str">
        <f>IFERROR(1-SUMIF('Grid BD'!$H:$H,$A356,'Grid BD'!$AD:$AD)/($AA356+SUMIF('Grid BD'!$H:$H,$A356,'Grid BD'!$AD:$AD)),"")</f>
        <v/>
      </c>
      <c r="T356" s="135"/>
      <c r="U356" s="136" t="str">
        <f t="shared" si="21"/>
        <v/>
      </c>
      <c r="V356" s="136"/>
      <c r="W356" s="137" t="str">
        <f t="shared" si="22"/>
        <v/>
      </c>
      <c r="X356" s="130" t="str">
        <f>IFERROR(_xlfn.XLOOKUP($A356,'Raw Data'!$G:$G,'Raw Data'!AI:AI),"")</f>
        <v/>
      </c>
      <c r="Y356" s="130" t="str">
        <f>IFERROR(_xlfn.XLOOKUP($A356,'Raw Data'!$G:$G,'Raw Data'!AJ:AJ),"")</f>
        <v/>
      </c>
      <c r="Z356" s="130" t="str">
        <f>IFERROR(_xlfn.XLOOKUP($A356,'Raw Data'!$G:$G,'Raw Data'!AK:AK),"")</f>
        <v/>
      </c>
      <c r="AA356" s="130" t="str">
        <f>IFERROR(_xlfn.XLOOKUP($A356,'Raw Data'!$G:$G,'Raw Data'!AL:AL),"")</f>
        <v/>
      </c>
      <c r="AB356" s="130" t="str">
        <f>IFERROR(_xlfn.XLOOKUP($A356,'Raw Data'!$G:$G,'Raw Data'!H:H),"")</f>
        <v/>
      </c>
      <c r="AC356" s="76">
        <f>IFERROR(_xlfn.XLOOKUP($D356,'Modelling New'!$D:$D,'Modelling New'!P:P),"")</f>
        <v>6.7870967741935484</v>
      </c>
      <c r="AD356" s="130">
        <f>IFERROR(_xlfn.XLOOKUP($D356,'Modelling New'!$D:$D,'Modelling New'!$T:$T)*1000,"")</f>
        <v>38219.028541703687</v>
      </c>
      <c r="AE356" s="138">
        <f>IFERROR(_xlfn.XLOOKUP($D356,'Modelling New'!$D:$D,'Modelling New'!O:O),"")</f>
        <v>0.70205720444645292</v>
      </c>
      <c r="AF356" s="137">
        <f>IFERROR(_xlfn.XLOOKUP($D356,'Modelling New'!$D:$D,'Modelling New'!W:W),"")</f>
        <v>0.19853875781657757</v>
      </c>
      <c r="AG356" s="137">
        <f>IFERROR(_xlfn.XLOOKUP($D356,'Modelling New'!$D:$D,'Modelling New'!AE:AE),"")</f>
        <v>0.98040000000000005</v>
      </c>
      <c r="AH356" s="156">
        <f>IFERROR(_xlfn.XLOOKUP($D356,'Modelling New'!$D:$D,'Modelling New'!AF:AF),"")</f>
        <v>0.98</v>
      </c>
      <c r="AN356" s="134"/>
      <c r="AO356" s="137"/>
      <c r="AP356" s="137"/>
      <c r="AQ356" s="137"/>
      <c r="AR356" s="130">
        <f>'Basic Data'!$B$98/1000</f>
        <v>8.0208999999999993</v>
      </c>
    </row>
    <row r="357" spans="1:44" x14ac:dyDescent="0.3">
      <c r="A357" s="129">
        <f t="shared" si="23"/>
        <v>46100</v>
      </c>
      <c r="B357" s="130">
        <f>YEAR(Table13[[#This Row],[Date]])+IF(MONTH(Table13[[#This Row],[Date]])&gt;=4,1,0)</f>
        <v>2026</v>
      </c>
      <c r="C357" s="7">
        <f>YEAR(Table13[[#This Row],[Date]])</f>
        <v>2026</v>
      </c>
      <c r="D357" s="131">
        <f>Table13[[#This Row],[Date]]-DAY(Table13[[#This Row],[Date]])+1</f>
        <v>46082</v>
      </c>
      <c r="E357" s="7">
        <f t="shared" si="20"/>
        <v>31</v>
      </c>
      <c r="F357" s="132" t="str">
        <f>IFERROR(_xlfn.XLOOKUP($A357,'Raw Data'!$G:$G,'Raw Data'!$AM:$AM),"")</f>
        <v/>
      </c>
      <c r="G357" s="133" t="str">
        <f>IFERROR(_xlfn.XLOOKUP($A357,'Raw Data'!$G:$G,'Raw Data'!$AB:$AB),"")</f>
        <v/>
      </c>
      <c r="H357" s="133"/>
      <c r="I357" s="133" t="str">
        <f>IFERROR(_xlfn.XLOOKUP($A357,'Raw Data'!$G:$G,'Raw Data'!$AC:$AC),"")</f>
        <v/>
      </c>
      <c r="J357" s="133"/>
      <c r="K357" s="133" t="str">
        <f>IFERROR(_xlfn.XLOOKUP($A357,'Raw Data'!$G:$G,'Raw Data'!AD:AD),"")</f>
        <v/>
      </c>
      <c r="L357" s="133" t="str">
        <f>IFERROR(_xlfn.XLOOKUP($A357,'Raw Data'!$G:$G,'Raw Data'!AE:AE),"")</f>
        <v/>
      </c>
      <c r="M357" s="133" t="str">
        <f>IFERROR(_xlfn.XLOOKUP($A357,'Raw Data'!$G:$G,'Raw Data'!AF:AF),"")</f>
        <v/>
      </c>
      <c r="N357" s="133" t="str">
        <f>IFERROR(_xlfn.XLOOKUP($A357,'Raw Data'!$G:$G,'Raw Data'!AG:AG),"")</f>
        <v/>
      </c>
      <c r="O357" s="134" t="str">
        <f>IFERROR(1-SUMIF('Plant BD'!$H:$H,$A357,'Plant BD'!$AE:$AE)/($AA357+SUMIF('Plant BD'!$H:$H,$A357,'Plant BD'!$AE:$AE)),"")</f>
        <v/>
      </c>
      <c r="P357" s="134"/>
      <c r="Q357" s="135"/>
      <c r="R357" s="134" t="str">
        <f>IFERROR(1-SUMIF('Grid BD'!$H:$H,$A357,'Grid BD'!$AD:$AD)/($AA357+SUMIF('Grid BD'!$H:$H,$A357,'Grid BD'!$AD:$AD)),"")</f>
        <v/>
      </c>
      <c r="T357" s="135"/>
      <c r="U357" s="136" t="str">
        <f t="shared" si="21"/>
        <v/>
      </c>
      <c r="V357" s="136"/>
      <c r="W357" s="137" t="str">
        <f t="shared" si="22"/>
        <v/>
      </c>
      <c r="X357" s="130" t="str">
        <f>IFERROR(_xlfn.XLOOKUP($A357,'Raw Data'!$G:$G,'Raw Data'!AI:AI),"")</f>
        <v/>
      </c>
      <c r="Y357" s="130" t="str">
        <f>IFERROR(_xlfn.XLOOKUP($A357,'Raw Data'!$G:$G,'Raw Data'!AJ:AJ),"")</f>
        <v/>
      </c>
      <c r="Z357" s="130" t="str">
        <f>IFERROR(_xlfn.XLOOKUP($A357,'Raw Data'!$G:$G,'Raw Data'!AK:AK),"")</f>
        <v/>
      </c>
      <c r="AA357" s="130" t="str">
        <f>IFERROR(_xlfn.XLOOKUP($A357,'Raw Data'!$G:$G,'Raw Data'!AL:AL),"")</f>
        <v/>
      </c>
      <c r="AB357" s="130" t="str">
        <f>IFERROR(_xlfn.XLOOKUP($A357,'Raw Data'!$G:$G,'Raw Data'!H:H),"")</f>
        <v/>
      </c>
      <c r="AC357" s="76">
        <f>IFERROR(_xlfn.XLOOKUP($D357,'Modelling New'!$D:$D,'Modelling New'!P:P),"")</f>
        <v>6.7870967741935484</v>
      </c>
      <c r="AD357" s="130">
        <f>IFERROR(_xlfn.XLOOKUP($D357,'Modelling New'!$D:$D,'Modelling New'!$T:$T)*1000,"")</f>
        <v>38219.028541703687</v>
      </c>
      <c r="AE357" s="138">
        <f>IFERROR(_xlfn.XLOOKUP($D357,'Modelling New'!$D:$D,'Modelling New'!O:O),"")</f>
        <v>0.70205720444645292</v>
      </c>
      <c r="AF357" s="137">
        <f>IFERROR(_xlfn.XLOOKUP($D357,'Modelling New'!$D:$D,'Modelling New'!W:W),"")</f>
        <v>0.19853875781657757</v>
      </c>
      <c r="AG357" s="137">
        <f>IFERROR(_xlfn.XLOOKUP($D357,'Modelling New'!$D:$D,'Modelling New'!AE:AE),"")</f>
        <v>0.98040000000000005</v>
      </c>
      <c r="AH357" s="156">
        <f>IFERROR(_xlfn.XLOOKUP($D357,'Modelling New'!$D:$D,'Modelling New'!AF:AF),"")</f>
        <v>0.98</v>
      </c>
      <c r="AN357" s="134"/>
      <c r="AO357" s="137"/>
      <c r="AP357" s="137"/>
      <c r="AQ357" s="137"/>
      <c r="AR357" s="130">
        <f>'Basic Data'!$B$98/1000</f>
        <v>8.0208999999999993</v>
      </c>
    </row>
    <row r="358" spans="1:44" x14ac:dyDescent="0.3">
      <c r="A358" s="129">
        <f t="shared" si="23"/>
        <v>46101</v>
      </c>
      <c r="B358" s="130">
        <f>YEAR(Table13[[#This Row],[Date]])+IF(MONTH(Table13[[#This Row],[Date]])&gt;=4,1,0)</f>
        <v>2026</v>
      </c>
      <c r="C358" s="7">
        <f>YEAR(Table13[[#This Row],[Date]])</f>
        <v>2026</v>
      </c>
      <c r="D358" s="131">
        <f>Table13[[#This Row],[Date]]-DAY(Table13[[#This Row],[Date]])+1</f>
        <v>46082</v>
      </c>
      <c r="E358" s="7">
        <f t="shared" si="20"/>
        <v>31</v>
      </c>
      <c r="F358" s="132" t="str">
        <f>IFERROR(_xlfn.XLOOKUP($A358,'Raw Data'!$G:$G,'Raw Data'!$AM:$AM),"")</f>
        <v/>
      </c>
      <c r="G358" s="133" t="str">
        <f>IFERROR(_xlfn.XLOOKUP($A358,'Raw Data'!$G:$G,'Raw Data'!$AB:$AB),"")</f>
        <v/>
      </c>
      <c r="H358" s="133"/>
      <c r="I358" s="133" t="str">
        <f>IFERROR(_xlfn.XLOOKUP($A358,'Raw Data'!$G:$G,'Raw Data'!$AC:$AC),"")</f>
        <v/>
      </c>
      <c r="J358" s="133"/>
      <c r="K358" s="133" t="str">
        <f>IFERROR(_xlfn.XLOOKUP($A358,'Raw Data'!$G:$G,'Raw Data'!AD:AD),"")</f>
        <v/>
      </c>
      <c r="L358" s="133" t="str">
        <f>IFERROR(_xlfn.XLOOKUP($A358,'Raw Data'!$G:$G,'Raw Data'!AE:AE),"")</f>
        <v/>
      </c>
      <c r="M358" s="133" t="str">
        <f>IFERROR(_xlfn.XLOOKUP($A358,'Raw Data'!$G:$G,'Raw Data'!AF:AF),"")</f>
        <v/>
      </c>
      <c r="N358" s="133" t="str">
        <f>IFERROR(_xlfn.XLOOKUP($A358,'Raw Data'!$G:$G,'Raw Data'!AG:AG),"")</f>
        <v/>
      </c>
      <c r="O358" s="134" t="str">
        <f>IFERROR(1-SUMIF('Plant BD'!$H:$H,$A358,'Plant BD'!$AE:$AE)/($AA358+SUMIF('Plant BD'!$H:$H,$A358,'Plant BD'!$AE:$AE)),"")</f>
        <v/>
      </c>
      <c r="P358" s="134"/>
      <c r="Q358" s="135"/>
      <c r="R358" s="134" t="str">
        <f>IFERROR(1-SUMIF('Grid BD'!$H:$H,$A358,'Grid BD'!$AD:$AD)/($AA358+SUMIF('Grid BD'!$H:$H,$A358,'Grid BD'!$AD:$AD)),"")</f>
        <v/>
      </c>
      <c r="T358" s="135"/>
      <c r="U358" s="136" t="str">
        <f t="shared" si="21"/>
        <v/>
      </c>
      <c r="V358" s="136"/>
      <c r="W358" s="137" t="str">
        <f t="shared" si="22"/>
        <v/>
      </c>
      <c r="X358" s="130" t="str">
        <f>IFERROR(_xlfn.XLOOKUP($A358,'Raw Data'!$G:$G,'Raw Data'!AI:AI),"")</f>
        <v/>
      </c>
      <c r="Y358" s="130" t="str">
        <f>IFERROR(_xlfn.XLOOKUP($A358,'Raw Data'!$G:$G,'Raw Data'!AJ:AJ),"")</f>
        <v/>
      </c>
      <c r="Z358" s="130" t="str">
        <f>IFERROR(_xlfn.XLOOKUP($A358,'Raw Data'!$G:$G,'Raw Data'!AK:AK),"")</f>
        <v/>
      </c>
      <c r="AA358" s="130" t="str">
        <f>IFERROR(_xlfn.XLOOKUP($A358,'Raw Data'!$G:$G,'Raw Data'!AL:AL),"")</f>
        <v/>
      </c>
      <c r="AB358" s="130" t="str">
        <f>IFERROR(_xlfn.XLOOKUP($A358,'Raw Data'!$G:$G,'Raw Data'!H:H),"")</f>
        <v/>
      </c>
      <c r="AC358" s="76">
        <f>IFERROR(_xlfn.XLOOKUP($D358,'Modelling New'!$D:$D,'Modelling New'!P:P),"")</f>
        <v>6.7870967741935484</v>
      </c>
      <c r="AD358" s="130">
        <f>IFERROR(_xlfn.XLOOKUP($D358,'Modelling New'!$D:$D,'Modelling New'!$T:$T)*1000,"")</f>
        <v>38219.028541703687</v>
      </c>
      <c r="AE358" s="138">
        <f>IFERROR(_xlfn.XLOOKUP($D358,'Modelling New'!$D:$D,'Modelling New'!O:O),"")</f>
        <v>0.70205720444645292</v>
      </c>
      <c r="AF358" s="137">
        <f>IFERROR(_xlfn.XLOOKUP($D358,'Modelling New'!$D:$D,'Modelling New'!W:W),"")</f>
        <v>0.19853875781657757</v>
      </c>
      <c r="AG358" s="137">
        <f>IFERROR(_xlfn.XLOOKUP($D358,'Modelling New'!$D:$D,'Modelling New'!AE:AE),"")</f>
        <v>0.98040000000000005</v>
      </c>
      <c r="AH358" s="156">
        <f>IFERROR(_xlfn.XLOOKUP($D358,'Modelling New'!$D:$D,'Modelling New'!AF:AF),"")</f>
        <v>0.98</v>
      </c>
      <c r="AN358" s="134"/>
      <c r="AO358" s="137"/>
      <c r="AP358" s="137"/>
      <c r="AQ358" s="137"/>
      <c r="AR358" s="130">
        <f>'Basic Data'!$B$98/1000</f>
        <v>8.0208999999999993</v>
      </c>
    </row>
    <row r="359" spans="1:44" x14ac:dyDescent="0.3">
      <c r="A359" s="129">
        <f t="shared" si="23"/>
        <v>46102</v>
      </c>
      <c r="B359" s="130">
        <f>YEAR(Table13[[#This Row],[Date]])+IF(MONTH(Table13[[#This Row],[Date]])&gt;=4,1,0)</f>
        <v>2026</v>
      </c>
      <c r="C359" s="7">
        <f>YEAR(Table13[[#This Row],[Date]])</f>
        <v>2026</v>
      </c>
      <c r="D359" s="131">
        <f>Table13[[#This Row],[Date]]-DAY(Table13[[#This Row],[Date]])+1</f>
        <v>46082</v>
      </c>
      <c r="E359" s="7">
        <f t="shared" si="20"/>
        <v>31</v>
      </c>
      <c r="F359" s="132" t="str">
        <f>IFERROR(_xlfn.XLOOKUP($A359,'Raw Data'!$G:$G,'Raw Data'!$AM:$AM),"")</f>
        <v/>
      </c>
      <c r="G359" s="133" t="str">
        <f>IFERROR(_xlfn.XLOOKUP($A359,'Raw Data'!$G:$G,'Raw Data'!$AB:$AB),"")</f>
        <v/>
      </c>
      <c r="H359" s="133"/>
      <c r="I359" s="133" t="str">
        <f>IFERROR(_xlfn.XLOOKUP($A359,'Raw Data'!$G:$G,'Raw Data'!$AC:$AC),"")</f>
        <v/>
      </c>
      <c r="J359" s="133"/>
      <c r="K359" s="133" t="str">
        <f>IFERROR(_xlfn.XLOOKUP($A359,'Raw Data'!$G:$G,'Raw Data'!AD:AD),"")</f>
        <v/>
      </c>
      <c r="L359" s="133" t="str">
        <f>IFERROR(_xlfn.XLOOKUP($A359,'Raw Data'!$G:$G,'Raw Data'!AE:AE),"")</f>
        <v/>
      </c>
      <c r="M359" s="133" t="str">
        <f>IFERROR(_xlfn.XLOOKUP($A359,'Raw Data'!$G:$G,'Raw Data'!AF:AF),"")</f>
        <v/>
      </c>
      <c r="N359" s="133" t="str">
        <f>IFERROR(_xlfn.XLOOKUP($A359,'Raw Data'!$G:$G,'Raw Data'!AG:AG),"")</f>
        <v/>
      </c>
      <c r="O359" s="134" t="str">
        <f>IFERROR(1-SUMIF('Plant BD'!$H:$H,$A359,'Plant BD'!$AE:$AE)/($AA359+SUMIF('Plant BD'!$H:$H,$A359,'Plant BD'!$AE:$AE)),"")</f>
        <v/>
      </c>
      <c r="P359" s="134"/>
      <c r="Q359" s="135"/>
      <c r="R359" s="134" t="str">
        <f>IFERROR(1-SUMIF('Grid BD'!$H:$H,$A359,'Grid BD'!$AD:$AD)/($AA359+SUMIF('Grid BD'!$H:$H,$A359,'Grid BD'!$AD:$AD)),"")</f>
        <v/>
      </c>
      <c r="T359" s="135"/>
      <c r="U359" s="136" t="str">
        <f t="shared" si="21"/>
        <v/>
      </c>
      <c r="V359" s="136"/>
      <c r="W359" s="137" t="str">
        <f t="shared" si="22"/>
        <v/>
      </c>
      <c r="X359" s="130" t="str">
        <f>IFERROR(_xlfn.XLOOKUP($A359,'Raw Data'!$G:$G,'Raw Data'!AI:AI),"")</f>
        <v/>
      </c>
      <c r="Y359" s="130" t="str">
        <f>IFERROR(_xlfn.XLOOKUP($A359,'Raw Data'!$G:$G,'Raw Data'!AJ:AJ),"")</f>
        <v/>
      </c>
      <c r="Z359" s="130" t="str">
        <f>IFERROR(_xlfn.XLOOKUP($A359,'Raw Data'!$G:$G,'Raw Data'!AK:AK),"")</f>
        <v/>
      </c>
      <c r="AA359" s="130" t="str">
        <f>IFERROR(_xlfn.XLOOKUP($A359,'Raw Data'!$G:$G,'Raw Data'!AL:AL),"")</f>
        <v/>
      </c>
      <c r="AB359" s="130" t="str">
        <f>IFERROR(_xlfn.XLOOKUP($A359,'Raw Data'!$G:$G,'Raw Data'!H:H),"")</f>
        <v/>
      </c>
      <c r="AC359" s="76">
        <f>IFERROR(_xlfn.XLOOKUP($D359,'Modelling New'!$D:$D,'Modelling New'!P:P),"")</f>
        <v>6.7870967741935484</v>
      </c>
      <c r="AD359" s="130">
        <f>IFERROR(_xlfn.XLOOKUP($D359,'Modelling New'!$D:$D,'Modelling New'!$T:$T)*1000,"")</f>
        <v>38219.028541703687</v>
      </c>
      <c r="AE359" s="138">
        <f>IFERROR(_xlfn.XLOOKUP($D359,'Modelling New'!$D:$D,'Modelling New'!O:O),"")</f>
        <v>0.70205720444645292</v>
      </c>
      <c r="AF359" s="137">
        <f>IFERROR(_xlfn.XLOOKUP($D359,'Modelling New'!$D:$D,'Modelling New'!W:W),"")</f>
        <v>0.19853875781657757</v>
      </c>
      <c r="AG359" s="137">
        <f>IFERROR(_xlfn.XLOOKUP($D359,'Modelling New'!$D:$D,'Modelling New'!AE:AE),"")</f>
        <v>0.98040000000000005</v>
      </c>
      <c r="AH359" s="156">
        <f>IFERROR(_xlfn.XLOOKUP($D359,'Modelling New'!$D:$D,'Modelling New'!AF:AF),"")</f>
        <v>0.98</v>
      </c>
      <c r="AN359" s="134"/>
      <c r="AO359" s="137"/>
      <c r="AP359" s="137"/>
      <c r="AQ359" s="137"/>
      <c r="AR359" s="130">
        <f>'Basic Data'!$B$98/1000</f>
        <v>8.0208999999999993</v>
      </c>
    </row>
    <row r="360" spans="1:44" x14ac:dyDescent="0.3">
      <c r="A360" s="129">
        <f t="shared" si="23"/>
        <v>46103</v>
      </c>
      <c r="B360" s="130">
        <f>YEAR(Table13[[#This Row],[Date]])+IF(MONTH(Table13[[#This Row],[Date]])&gt;=4,1,0)</f>
        <v>2026</v>
      </c>
      <c r="C360" s="7">
        <f>YEAR(Table13[[#This Row],[Date]])</f>
        <v>2026</v>
      </c>
      <c r="D360" s="131">
        <f>Table13[[#This Row],[Date]]-DAY(Table13[[#This Row],[Date]])+1</f>
        <v>46082</v>
      </c>
      <c r="E360" s="7">
        <f t="shared" si="20"/>
        <v>31</v>
      </c>
      <c r="F360" s="132" t="str">
        <f>IFERROR(_xlfn.XLOOKUP($A360,'Raw Data'!$G:$G,'Raw Data'!$AM:$AM),"")</f>
        <v/>
      </c>
      <c r="G360" s="133" t="str">
        <f>IFERROR(_xlfn.XLOOKUP($A360,'Raw Data'!$G:$G,'Raw Data'!$AB:$AB),"")</f>
        <v/>
      </c>
      <c r="H360" s="133"/>
      <c r="I360" s="133" t="str">
        <f>IFERROR(_xlfn.XLOOKUP($A360,'Raw Data'!$G:$G,'Raw Data'!$AC:$AC),"")</f>
        <v/>
      </c>
      <c r="J360" s="133"/>
      <c r="K360" s="133" t="str">
        <f>IFERROR(_xlfn.XLOOKUP($A360,'Raw Data'!$G:$G,'Raw Data'!AD:AD),"")</f>
        <v/>
      </c>
      <c r="L360" s="133" t="str">
        <f>IFERROR(_xlfn.XLOOKUP($A360,'Raw Data'!$G:$G,'Raw Data'!AE:AE),"")</f>
        <v/>
      </c>
      <c r="M360" s="133" t="str">
        <f>IFERROR(_xlfn.XLOOKUP($A360,'Raw Data'!$G:$G,'Raw Data'!AF:AF),"")</f>
        <v/>
      </c>
      <c r="N360" s="133" t="str">
        <f>IFERROR(_xlfn.XLOOKUP($A360,'Raw Data'!$G:$G,'Raw Data'!AG:AG),"")</f>
        <v/>
      </c>
      <c r="O360" s="134" t="str">
        <f>IFERROR(1-SUMIF('Plant BD'!$H:$H,$A360,'Plant BD'!$AE:$AE)/($AA360+SUMIF('Plant BD'!$H:$H,$A360,'Plant BD'!$AE:$AE)),"")</f>
        <v/>
      </c>
      <c r="P360" s="134"/>
      <c r="Q360" s="135"/>
      <c r="R360" s="134" t="str">
        <f>IFERROR(1-SUMIF('Grid BD'!$H:$H,$A360,'Grid BD'!$AD:$AD)/($AA360+SUMIF('Grid BD'!$H:$H,$A360,'Grid BD'!$AD:$AD)),"")</f>
        <v/>
      </c>
      <c r="T360" s="135"/>
      <c r="U360" s="136" t="str">
        <f t="shared" si="21"/>
        <v/>
      </c>
      <c r="V360" s="136"/>
      <c r="W360" s="137" t="str">
        <f t="shared" si="22"/>
        <v/>
      </c>
      <c r="X360" s="130" t="str">
        <f>IFERROR(_xlfn.XLOOKUP($A360,'Raw Data'!$G:$G,'Raw Data'!AI:AI),"")</f>
        <v/>
      </c>
      <c r="Y360" s="130" t="str">
        <f>IFERROR(_xlfn.XLOOKUP($A360,'Raw Data'!$G:$G,'Raw Data'!AJ:AJ),"")</f>
        <v/>
      </c>
      <c r="Z360" s="130" t="str">
        <f>IFERROR(_xlfn.XLOOKUP($A360,'Raw Data'!$G:$G,'Raw Data'!AK:AK),"")</f>
        <v/>
      </c>
      <c r="AA360" s="130" t="str">
        <f>IFERROR(_xlfn.XLOOKUP($A360,'Raw Data'!$G:$G,'Raw Data'!AL:AL),"")</f>
        <v/>
      </c>
      <c r="AB360" s="130" t="str">
        <f>IFERROR(_xlfn.XLOOKUP($A360,'Raw Data'!$G:$G,'Raw Data'!H:H),"")</f>
        <v/>
      </c>
      <c r="AC360" s="76">
        <f>IFERROR(_xlfn.XLOOKUP($D360,'Modelling New'!$D:$D,'Modelling New'!P:P),"")</f>
        <v>6.7870967741935484</v>
      </c>
      <c r="AD360" s="130">
        <f>IFERROR(_xlfn.XLOOKUP($D360,'Modelling New'!$D:$D,'Modelling New'!$T:$T)*1000,"")</f>
        <v>38219.028541703687</v>
      </c>
      <c r="AE360" s="138">
        <f>IFERROR(_xlfn.XLOOKUP($D360,'Modelling New'!$D:$D,'Modelling New'!O:O),"")</f>
        <v>0.70205720444645292</v>
      </c>
      <c r="AF360" s="137">
        <f>IFERROR(_xlfn.XLOOKUP($D360,'Modelling New'!$D:$D,'Modelling New'!W:W),"")</f>
        <v>0.19853875781657757</v>
      </c>
      <c r="AG360" s="137">
        <f>IFERROR(_xlfn.XLOOKUP($D360,'Modelling New'!$D:$D,'Modelling New'!AE:AE),"")</f>
        <v>0.98040000000000005</v>
      </c>
      <c r="AH360" s="156">
        <f>IFERROR(_xlfn.XLOOKUP($D360,'Modelling New'!$D:$D,'Modelling New'!AF:AF),"")</f>
        <v>0.98</v>
      </c>
      <c r="AN360" s="134"/>
      <c r="AO360" s="137"/>
      <c r="AP360" s="137"/>
      <c r="AQ360" s="137"/>
      <c r="AR360" s="130">
        <f>'Basic Data'!$B$98/1000</f>
        <v>8.0208999999999993</v>
      </c>
    </row>
    <row r="361" spans="1:44" x14ac:dyDescent="0.3">
      <c r="A361" s="129">
        <f t="shared" si="23"/>
        <v>46104</v>
      </c>
      <c r="B361" s="130">
        <f>YEAR(Table13[[#This Row],[Date]])+IF(MONTH(Table13[[#This Row],[Date]])&gt;=4,1,0)</f>
        <v>2026</v>
      </c>
      <c r="C361" s="7">
        <f>YEAR(Table13[[#This Row],[Date]])</f>
        <v>2026</v>
      </c>
      <c r="D361" s="131">
        <f>Table13[[#This Row],[Date]]-DAY(Table13[[#This Row],[Date]])+1</f>
        <v>46082</v>
      </c>
      <c r="E361" s="7">
        <f t="shared" si="20"/>
        <v>31</v>
      </c>
      <c r="F361" s="132" t="str">
        <f>IFERROR(_xlfn.XLOOKUP($A361,'Raw Data'!$G:$G,'Raw Data'!$AM:$AM),"")</f>
        <v/>
      </c>
      <c r="G361" s="133" t="str">
        <f>IFERROR(_xlfn.XLOOKUP($A361,'Raw Data'!$G:$G,'Raw Data'!$AB:$AB),"")</f>
        <v/>
      </c>
      <c r="H361" s="133"/>
      <c r="I361" s="133" t="str">
        <f>IFERROR(_xlfn.XLOOKUP($A361,'Raw Data'!$G:$G,'Raw Data'!$AC:$AC),"")</f>
        <v/>
      </c>
      <c r="J361" s="133"/>
      <c r="K361" s="133" t="str">
        <f>IFERROR(_xlfn.XLOOKUP($A361,'Raw Data'!$G:$G,'Raw Data'!AD:AD),"")</f>
        <v/>
      </c>
      <c r="L361" s="133" t="str">
        <f>IFERROR(_xlfn.XLOOKUP($A361,'Raw Data'!$G:$G,'Raw Data'!AE:AE),"")</f>
        <v/>
      </c>
      <c r="M361" s="133" t="str">
        <f>IFERROR(_xlfn.XLOOKUP($A361,'Raw Data'!$G:$G,'Raw Data'!AF:AF),"")</f>
        <v/>
      </c>
      <c r="N361" s="133" t="str">
        <f>IFERROR(_xlfn.XLOOKUP($A361,'Raw Data'!$G:$G,'Raw Data'!AG:AG),"")</f>
        <v/>
      </c>
      <c r="O361" s="134" t="str">
        <f>IFERROR(1-SUMIF('Plant BD'!$H:$H,$A361,'Plant BD'!$AE:$AE)/($AA361+SUMIF('Plant BD'!$H:$H,$A361,'Plant BD'!$AE:$AE)),"")</f>
        <v/>
      </c>
      <c r="P361" s="134"/>
      <c r="Q361" s="135"/>
      <c r="R361" s="134" t="str">
        <f>IFERROR(1-SUMIF('Grid BD'!$H:$H,$A361,'Grid BD'!$AD:$AD)/($AA361+SUMIF('Grid BD'!$H:$H,$A361,'Grid BD'!$AD:$AD)),"")</f>
        <v/>
      </c>
      <c r="T361" s="135"/>
      <c r="U361" s="136" t="str">
        <f t="shared" si="21"/>
        <v/>
      </c>
      <c r="V361" s="136"/>
      <c r="W361" s="137" t="str">
        <f t="shared" si="22"/>
        <v/>
      </c>
      <c r="X361" s="130" t="str">
        <f>IFERROR(_xlfn.XLOOKUP($A361,'Raw Data'!$G:$G,'Raw Data'!AI:AI),"")</f>
        <v/>
      </c>
      <c r="Y361" s="130" t="str">
        <f>IFERROR(_xlfn.XLOOKUP($A361,'Raw Data'!$G:$G,'Raw Data'!AJ:AJ),"")</f>
        <v/>
      </c>
      <c r="Z361" s="130" t="str">
        <f>IFERROR(_xlfn.XLOOKUP($A361,'Raw Data'!$G:$G,'Raw Data'!AK:AK),"")</f>
        <v/>
      </c>
      <c r="AA361" s="130" t="str">
        <f>IFERROR(_xlfn.XLOOKUP($A361,'Raw Data'!$G:$G,'Raw Data'!AL:AL),"")</f>
        <v/>
      </c>
      <c r="AB361" s="130" t="str">
        <f>IFERROR(_xlfn.XLOOKUP($A361,'Raw Data'!$G:$G,'Raw Data'!H:H),"")</f>
        <v/>
      </c>
      <c r="AC361" s="76">
        <f>IFERROR(_xlfn.XLOOKUP($D361,'Modelling New'!$D:$D,'Modelling New'!P:P),"")</f>
        <v>6.7870967741935484</v>
      </c>
      <c r="AD361" s="130">
        <f>IFERROR(_xlfn.XLOOKUP($D361,'Modelling New'!$D:$D,'Modelling New'!$T:$T)*1000,"")</f>
        <v>38219.028541703687</v>
      </c>
      <c r="AE361" s="138">
        <f>IFERROR(_xlfn.XLOOKUP($D361,'Modelling New'!$D:$D,'Modelling New'!O:O),"")</f>
        <v>0.70205720444645292</v>
      </c>
      <c r="AF361" s="137">
        <f>IFERROR(_xlfn.XLOOKUP($D361,'Modelling New'!$D:$D,'Modelling New'!W:W),"")</f>
        <v>0.19853875781657757</v>
      </c>
      <c r="AG361" s="137">
        <f>IFERROR(_xlfn.XLOOKUP($D361,'Modelling New'!$D:$D,'Modelling New'!AE:AE),"")</f>
        <v>0.98040000000000005</v>
      </c>
      <c r="AH361" s="156">
        <f>IFERROR(_xlfn.XLOOKUP($D361,'Modelling New'!$D:$D,'Modelling New'!AF:AF),"")</f>
        <v>0.98</v>
      </c>
      <c r="AN361" s="134"/>
      <c r="AO361" s="137"/>
      <c r="AP361" s="137"/>
      <c r="AQ361" s="137"/>
      <c r="AR361" s="130">
        <f>'Basic Data'!$B$98/1000</f>
        <v>8.0208999999999993</v>
      </c>
    </row>
    <row r="362" spans="1:44" x14ac:dyDescent="0.3">
      <c r="A362" s="129">
        <f t="shared" si="23"/>
        <v>46105</v>
      </c>
      <c r="B362" s="130">
        <f>YEAR(Table13[[#This Row],[Date]])+IF(MONTH(Table13[[#This Row],[Date]])&gt;=4,1,0)</f>
        <v>2026</v>
      </c>
      <c r="C362" s="7">
        <f>YEAR(Table13[[#This Row],[Date]])</f>
        <v>2026</v>
      </c>
      <c r="D362" s="131">
        <f>Table13[[#This Row],[Date]]-DAY(Table13[[#This Row],[Date]])+1</f>
        <v>46082</v>
      </c>
      <c r="E362" s="7">
        <f t="shared" si="20"/>
        <v>31</v>
      </c>
      <c r="F362" s="132" t="str">
        <f>IFERROR(_xlfn.XLOOKUP($A362,'Raw Data'!$G:$G,'Raw Data'!$AM:$AM),"")</f>
        <v/>
      </c>
      <c r="G362" s="133" t="str">
        <f>IFERROR(_xlfn.XLOOKUP($A362,'Raw Data'!$G:$G,'Raw Data'!$AB:$AB),"")</f>
        <v/>
      </c>
      <c r="H362" s="133"/>
      <c r="I362" s="133" t="str">
        <f>IFERROR(_xlfn.XLOOKUP($A362,'Raw Data'!$G:$G,'Raw Data'!$AC:$AC),"")</f>
        <v/>
      </c>
      <c r="J362" s="133"/>
      <c r="K362" s="133" t="str">
        <f>IFERROR(_xlfn.XLOOKUP($A362,'Raw Data'!$G:$G,'Raw Data'!AD:AD),"")</f>
        <v/>
      </c>
      <c r="L362" s="133" t="str">
        <f>IFERROR(_xlfn.XLOOKUP($A362,'Raw Data'!$G:$G,'Raw Data'!AE:AE),"")</f>
        <v/>
      </c>
      <c r="M362" s="133" t="str">
        <f>IFERROR(_xlfn.XLOOKUP($A362,'Raw Data'!$G:$G,'Raw Data'!AF:AF),"")</f>
        <v/>
      </c>
      <c r="N362" s="133" t="str">
        <f>IFERROR(_xlfn.XLOOKUP($A362,'Raw Data'!$G:$G,'Raw Data'!AG:AG),"")</f>
        <v/>
      </c>
      <c r="O362" s="134" t="str">
        <f>IFERROR(1-SUMIF('Plant BD'!$H:$H,$A362,'Plant BD'!$AE:$AE)/($AA362+SUMIF('Plant BD'!$H:$H,$A362,'Plant BD'!$AE:$AE)),"")</f>
        <v/>
      </c>
      <c r="P362" s="134"/>
      <c r="Q362" s="135"/>
      <c r="R362" s="134" t="str">
        <f>IFERROR(1-SUMIF('Grid BD'!$H:$H,$A362,'Grid BD'!$AD:$AD)/($AA362+SUMIF('Grid BD'!$H:$H,$A362,'Grid BD'!$AD:$AD)),"")</f>
        <v/>
      </c>
      <c r="T362" s="135"/>
      <c r="U362" s="136" t="str">
        <f t="shared" si="21"/>
        <v/>
      </c>
      <c r="V362" s="136"/>
      <c r="W362" s="137" t="str">
        <f t="shared" si="22"/>
        <v/>
      </c>
      <c r="X362" s="130" t="str">
        <f>IFERROR(_xlfn.XLOOKUP($A362,'Raw Data'!$G:$G,'Raw Data'!AI:AI),"")</f>
        <v/>
      </c>
      <c r="Y362" s="130" t="str">
        <f>IFERROR(_xlfn.XLOOKUP($A362,'Raw Data'!$G:$G,'Raw Data'!AJ:AJ),"")</f>
        <v/>
      </c>
      <c r="Z362" s="130" t="str">
        <f>IFERROR(_xlfn.XLOOKUP($A362,'Raw Data'!$G:$G,'Raw Data'!AK:AK),"")</f>
        <v/>
      </c>
      <c r="AA362" s="130" t="str">
        <f>IFERROR(_xlfn.XLOOKUP($A362,'Raw Data'!$G:$G,'Raw Data'!AL:AL),"")</f>
        <v/>
      </c>
      <c r="AB362" s="130" t="str">
        <f>IFERROR(_xlfn.XLOOKUP($A362,'Raw Data'!$G:$G,'Raw Data'!H:H),"")</f>
        <v/>
      </c>
      <c r="AC362" s="76">
        <f>IFERROR(_xlfn.XLOOKUP($D362,'Modelling New'!$D:$D,'Modelling New'!P:P),"")</f>
        <v>6.7870967741935484</v>
      </c>
      <c r="AD362" s="130">
        <f>IFERROR(_xlfn.XLOOKUP($D362,'Modelling New'!$D:$D,'Modelling New'!$T:$T)*1000,"")</f>
        <v>38219.028541703687</v>
      </c>
      <c r="AE362" s="138">
        <f>IFERROR(_xlfn.XLOOKUP($D362,'Modelling New'!$D:$D,'Modelling New'!O:O),"")</f>
        <v>0.70205720444645292</v>
      </c>
      <c r="AF362" s="137">
        <f>IFERROR(_xlfn.XLOOKUP($D362,'Modelling New'!$D:$D,'Modelling New'!W:W),"")</f>
        <v>0.19853875781657757</v>
      </c>
      <c r="AG362" s="137">
        <f>IFERROR(_xlfn.XLOOKUP($D362,'Modelling New'!$D:$D,'Modelling New'!AE:AE),"")</f>
        <v>0.98040000000000005</v>
      </c>
      <c r="AH362" s="156">
        <f>IFERROR(_xlfn.XLOOKUP($D362,'Modelling New'!$D:$D,'Modelling New'!AF:AF),"")</f>
        <v>0.98</v>
      </c>
      <c r="AN362" s="134"/>
      <c r="AO362" s="137"/>
      <c r="AP362" s="137"/>
      <c r="AQ362" s="137"/>
      <c r="AR362" s="130">
        <f>'Basic Data'!$B$98/1000</f>
        <v>8.0208999999999993</v>
      </c>
    </row>
    <row r="363" spans="1:44" x14ac:dyDescent="0.3">
      <c r="A363" s="129">
        <f t="shared" si="23"/>
        <v>46106</v>
      </c>
      <c r="B363" s="130">
        <f>YEAR(Table13[[#This Row],[Date]])+IF(MONTH(Table13[[#This Row],[Date]])&gt;=4,1,0)</f>
        <v>2026</v>
      </c>
      <c r="C363" s="7">
        <f>YEAR(Table13[[#This Row],[Date]])</f>
        <v>2026</v>
      </c>
      <c r="D363" s="131">
        <f>Table13[[#This Row],[Date]]-DAY(Table13[[#This Row],[Date]])+1</f>
        <v>46082</v>
      </c>
      <c r="E363" s="7">
        <f t="shared" si="20"/>
        <v>31</v>
      </c>
      <c r="F363" s="132" t="str">
        <f>IFERROR(_xlfn.XLOOKUP($A363,'Raw Data'!$G:$G,'Raw Data'!$AM:$AM),"")</f>
        <v/>
      </c>
      <c r="G363" s="133" t="str">
        <f>IFERROR(_xlfn.XLOOKUP($A363,'Raw Data'!$G:$G,'Raw Data'!$AB:$AB),"")</f>
        <v/>
      </c>
      <c r="H363" s="133"/>
      <c r="I363" s="133" t="str">
        <f>IFERROR(_xlfn.XLOOKUP($A363,'Raw Data'!$G:$G,'Raw Data'!$AC:$AC),"")</f>
        <v/>
      </c>
      <c r="J363" s="133"/>
      <c r="K363" s="133" t="str">
        <f>IFERROR(_xlfn.XLOOKUP($A363,'Raw Data'!$G:$G,'Raw Data'!AD:AD),"")</f>
        <v/>
      </c>
      <c r="L363" s="133" t="str">
        <f>IFERROR(_xlfn.XLOOKUP($A363,'Raw Data'!$G:$G,'Raw Data'!AE:AE),"")</f>
        <v/>
      </c>
      <c r="M363" s="133" t="str">
        <f>IFERROR(_xlfn.XLOOKUP($A363,'Raw Data'!$G:$G,'Raw Data'!AF:AF),"")</f>
        <v/>
      </c>
      <c r="N363" s="133" t="str">
        <f>IFERROR(_xlfn.XLOOKUP($A363,'Raw Data'!$G:$G,'Raw Data'!AG:AG),"")</f>
        <v/>
      </c>
      <c r="O363" s="134" t="str">
        <f>IFERROR(1-SUMIF('Plant BD'!$H:$H,$A363,'Plant BD'!$AE:$AE)/($AA363+SUMIF('Plant BD'!$H:$H,$A363,'Plant BD'!$AE:$AE)),"")</f>
        <v/>
      </c>
      <c r="P363" s="134"/>
      <c r="Q363" s="135"/>
      <c r="R363" s="134" t="str">
        <f>IFERROR(1-SUMIF('Grid BD'!$H:$H,$A363,'Grid BD'!$AD:$AD)/($AA363+SUMIF('Grid BD'!$H:$H,$A363,'Grid BD'!$AD:$AD)),"")</f>
        <v/>
      </c>
      <c r="T363" s="135"/>
      <c r="U363" s="136" t="str">
        <f t="shared" si="21"/>
        <v/>
      </c>
      <c r="V363" s="136"/>
      <c r="W363" s="137" t="str">
        <f t="shared" si="22"/>
        <v/>
      </c>
      <c r="X363" s="130" t="str">
        <f>IFERROR(_xlfn.XLOOKUP($A363,'Raw Data'!$G:$G,'Raw Data'!AI:AI),"")</f>
        <v/>
      </c>
      <c r="Y363" s="130" t="str">
        <f>IFERROR(_xlfn.XLOOKUP($A363,'Raw Data'!$G:$G,'Raw Data'!AJ:AJ),"")</f>
        <v/>
      </c>
      <c r="Z363" s="130" t="str">
        <f>IFERROR(_xlfn.XLOOKUP($A363,'Raw Data'!$G:$G,'Raw Data'!AK:AK),"")</f>
        <v/>
      </c>
      <c r="AA363" s="130" t="str">
        <f>IFERROR(_xlfn.XLOOKUP($A363,'Raw Data'!$G:$G,'Raw Data'!AL:AL),"")</f>
        <v/>
      </c>
      <c r="AB363" s="130" t="str">
        <f>IFERROR(_xlfn.XLOOKUP($A363,'Raw Data'!$G:$G,'Raw Data'!H:H),"")</f>
        <v/>
      </c>
      <c r="AC363" s="76">
        <f>IFERROR(_xlfn.XLOOKUP($D363,'Modelling New'!$D:$D,'Modelling New'!P:P),"")</f>
        <v>6.7870967741935484</v>
      </c>
      <c r="AD363" s="130">
        <f>IFERROR(_xlfn.XLOOKUP($D363,'Modelling New'!$D:$D,'Modelling New'!$T:$T)*1000,"")</f>
        <v>38219.028541703687</v>
      </c>
      <c r="AE363" s="138">
        <f>IFERROR(_xlfn.XLOOKUP($D363,'Modelling New'!$D:$D,'Modelling New'!O:O),"")</f>
        <v>0.70205720444645292</v>
      </c>
      <c r="AF363" s="137">
        <f>IFERROR(_xlfn.XLOOKUP($D363,'Modelling New'!$D:$D,'Modelling New'!W:W),"")</f>
        <v>0.19853875781657757</v>
      </c>
      <c r="AG363" s="137">
        <f>IFERROR(_xlfn.XLOOKUP($D363,'Modelling New'!$D:$D,'Modelling New'!AE:AE),"")</f>
        <v>0.98040000000000005</v>
      </c>
      <c r="AH363" s="156">
        <f>IFERROR(_xlfn.XLOOKUP($D363,'Modelling New'!$D:$D,'Modelling New'!AF:AF),"")</f>
        <v>0.98</v>
      </c>
      <c r="AN363" s="134"/>
      <c r="AO363" s="137"/>
      <c r="AP363" s="137"/>
      <c r="AQ363" s="137"/>
      <c r="AR363" s="130">
        <f>'Basic Data'!$B$98/1000</f>
        <v>8.0208999999999993</v>
      </c>
    </row>
    <row r="364" spans="1:44" x14ac:dyDescent="0.3">
      <c r="A364" s="129">
        <f t="shared" si="23"/>
        <v>46107</v>
      </c>
      <c r="B364" s="130">
        <f>YEAR(Table13[[#This Row],[Date]])+IF(MONTH(Table13[[#This Row],[Date]])&gt;=4,1,0)</f>
        <v>2026</v>
      </c>
      <c r="C364" s="7">
        <f>YEAR(Table13[[#This Row],[Date]])</f>
        <v>2026</v>
      </c>
      <c r="D364" s="131">
        <f>Table13[[#This Row],[Date]]-DAY(Table13[[#This Row],[Date]])+1</f>
        <v>46082</v>
      </c>
      <c r="E364" s="7">
        <f t="shared" si="20"/>
        <v>31</v>
      </c>
      <c r="F364" s="132" t="str">
        <f>IFERROR(_xlfn.XLOOKUP($A364,'Raw Data'!$G:$G,'Raw Data'!$AM:$AM),"")</f>
        <v/>
      </c>
      <c r="G364" s="133" t="str">
        <f>IFERROR(_xlfn.XLOOKUP($A364,'Raw Data'!$G:$G,'Raw Data'!$AB:$AB),"")</f>
        <v/>
      </c>
      <c r="H364" s="133"/>
      <c r="I364" s="133" t="str">
        <f>IFERROR(_xlfn.XLOOKUP($A364,'Raw Data'!$G:$G,'Raw Data'!$AC:$AC),"")</f>
        <v/>
      </c>
      <c r="J364" s="133"/>
      <c r="K364" s="133" t="str">
        <f>IFERROR(_xlfn.XLOOKUP($A364,'Raw Data'!$G:$G,'Raw Data'!AD:AD),"")</f>
        <v/>
      </c>
      <c r="L364" s="133" t="str">
        <f>IFERROR(_xlfn.XLOOKUP($A364,'Raw Data'!$G:$G,'Raw Data'!AE:AE),"")</f>
        <v/>
      </c>
      <c r="M364" s="133" t="str">
        <f>IFERROR(_xlfn.XLOOKUP($A364,'Raw Data'!$G:$G,'Raw Data'!AF:AF),"")</f>
        <v/>
      </c>
      <c r="N364" s="133" t="str">
        <f>IFERROR(_xlfn.XLOOKUP($A364,'Raw Data'!$G:$G,'Raw Data'!AG:AG),"")</f>
        <v/>
      </c>
      <c r="O364" s="134" t="str">
        <f>IFERROR(1-SUMIF('Plant BD'!$H:$H,$A364,'Plant BD'!$AE:$AE)/($AA364+SUMIF('Plant BD'!$H:$H,$A364,'Plant BD'!$AE:$AE)),"")</f>
        <v/>
      </c>
      <c r="P364" s="134"/>
      <c r="Q364" s="135"/>
      <c r="R364" s="134" t="str">
        <f>IFERROR(1-SUMIF('Grid BD'!$H:$H,$A364,'Grid BD'!$AD:$AD)/($AA364+SUMIF('Grid BD'!$H:$H,$A364,'Grid BD'!$AD:$AD)),"")</f>
        <v/>
      </c>
      <c r="T364" s="135"/>
      <c r="U364" s="136" t="str">
        <f t="shared" si="21"/>
        <v/>
      </c>
      <c r="V364" s="136"/>
      <c r="W364" s="137" t="str">
        <f t="shared" si="22"/>
        <v/>
      </c>
      <c r="X364" s="130" t="str">
        <f>IFERROR(_xlfn.XLOOKUP($A364,'Raw Data'!$G:$G,'Raw Data'!AI:AI),"")</f>
        <v/>
      </c>
      <c r="Y364" s="130" t="str">
        <f>IFERROR(_xlfn.XLOOKUP($A364,'Raw Data'!$G:$G,'Raw Data'!AJ:AJ),"")</f>
        <v/>
      </c>
      <c r="Z364" s="130" t="str">
        <f>IFERROR(_xlfn.XLOOKUP($A364,'Raw Data'!$G:$G,'Raw Data'!AK:AK),"")</f>
        <v/>
      </c>
      <c r="AA364" s="130" t="str">
        <f>IFERROR(_xlfn.XLOOKUP($A364,'Raw Data'!$G:$G,'Raw Data'!AL:AL),"")</f>
        <v/>
      </c>
      <c r="AB364" s="130" t="str">
        <f>IFERROR(_xlfn.XLOOKUP($A364,'Raw Data'!$G:$G,'Raw Data'!H:H),"")</f>
        <v/>
      </c>
      <c r="AC364" s="76">
        <f>IFERROR(_xlfn.XLOOKUP($D364,'Modelling New'!$D:$D,'Modelling New'!P:P),"")</f>
        <v>6.7870967741935484</v>
      </c>
      <c r="AD364" s="130">
        <f>IFERROR(_xlfn.XLOOKUP($D364,'Modelling New'!$D:$D,'Modelling New'!$T:$T)*1000,"")</f>
        <v>38219.028541703687</v>
      </c>
      <c r="AE364" s="138">
        <f>IFERROR(_xlfn.XLOOKUP($D364,'Modelling New'!$D:$D,'Modelling New'!O:O),"")</f>
        <v>0.70205720444645292</v>
      </c>
      <c r="AF364" s="137">
        <f>IFERROR(_xlfn.XLOOKUP($D364,'Modelling New'!$D:$D,'Modelling New'!W:W),"")</f>
        <v>0.19853875781657757</v>
      </c>
      <c r="AG364" s="137">
        <f>IFERROR(_xlfn.XLOOKUP($D364,'Modelling New'!$D:$D,'Modelling New'!AE:AE),"")</f>
        <v>0.98040000000000005</v>
      </c>
      <c r="AH364" s="156">
        <f>IFERROR(_xlfn.XLOOKUP($D364,'Modelling New'!$D:$D,'Modelling New'!AF:AF),"")</f>
        <v>0.98</v>
      </c>
      <c r="AN364" s="134"/>
      <c r="AO364" s="137"/>
      <c r="AP364" s="137"/>
      <c r="AQ364" s="137"/>
      <c r="AR364" s="130">
        <f>'Basic Data'!$B$98/1000</f>
        <v>8.0208999999999993</v>
      </c>
    </row>
    <row r="365" spans="1:44" x14ac:dyDescent="0.3">
      <c r="A365" s="129">
        <f t="shared" si="23"/>
        <v>46108</v>
      </c>
      <c r="B365" s="130">
        <f>YEAR(Table13[[#This Row],[Date]])+IF(MONTH(Table13[[#This Row],[Date]])&gt;=4,1,0)</f>
        <v>2026</v>
      </c>
      <c r="C365" s="7">
        <f>YEAR(Table13[[#This Row],[Date]])</f>
        <v>2026</v>
      </c>
      <c r="D365" s="131">
        <f>Table13[[#This Row],[Date]]-DAY(Table13[[#This Row],[Date]])+1</f>
        <v>46082</v>
      </c>
      <c r="E365" s="7">
        <f t="shared" si="20"/>
        <v>31</v>
      </c>
      <c r="F365" s="132" t="str">
        <f>IFERROR(_xlfn.XLOOKUP($A365,'Raw Data'!$G:$G,'Raw Data'!$AM:$AM),"")</f>
        <v/>
      </c>
      <c r="G365" s="133" t="str">
        <f>IFERROR(_xlfn.XLOOKUP($A365,'Raw Data'!$G:$G,'Raw Data'!$AB:$AB),"")</f>
        <v/>
      </c>
      <c r="H365" s="133"/>
      <c r="I365" s="133" t="str">
        <f>IFERROR(_xlfn.XLOOKUP($A365,'Raw Data'!$G:$G,'Raw Data'!$AC:$AC),"")</f>
        <v/>
      </c>
      <c r="J365" s="133"/>
      <c r="K365" s="133" t="str">
        <f>IFERROR(_xlfn.XLOOKUP($A365,'Raw Data'!$G:$G,'Raw Data'!AD:AD),"")</f>
        <v/>
      </c>
      <c r="L365" s="133" t="str">
        <f>IFERROR(_xlfn.XLOOKUP($A365,'Raw Data'!$G:$G,'Raw Data'!AE:AE),"")</f>
        <v/>
      </c>
      <c r="M365" s="133" t="str">
        <f>IFERROR(_xlfn.XLOOKUP($A365,'Raw Data'!$G:$G,'Raw Data'!AF:AF),"")</f>
        <v/>
      </c>
      <c r="N365" s="133" t="str">
        <f>IFERROR(_xlfn.XLOOKUP($A365,'Raw Data'!$G:$G,'Raw Data'!AG:AG),"")</f>
        <v/>
      </c>
      <c r="O365" s="134" t="str">
        <f>IFERROR(1-SUMIF('Plant BD'!$H:$H,$A365,'Plant BD'!$AE:$AE)/($AA365+SUMIF('Plant BD'!$H:$H,$A365,'Plant BD'!$AE:$AE)),"")</f>
        <v/>
      </c>
      <c r="P365" s="134"/>
      <c r="Q365" s="135"/>
      <c r="R365" s="134" t="str">
        <f>IFERROR(1-SUMIF('Grid BD'!$H:$H,$A365,'Grid BD'!$AD:$AD)/($AA365+SUMIF('Grid BD'!$H:$H,$A365,'Grid BD'!$AD:$AD)),"")</f>
        <v/>
      </c>
      <c r="T365" s="135"/>
      <c r="U365" s="136" t="str">
        <f t="shared" si="21"/>
        <v/>
      </c>
      <c r="V365" s="136"/>
      <c r="W365" s="137" t="str">
        <f t="shared" si="22"/>
        <v/>
      </c>
      <c r="X365" s="130" t="str">
        <f>IFERROR(_xlfn.XLOOKUP($A365,'Raw Data'!$G:$G,'Raw Data'!AI:AI),"")</f>
        <v/>
      </c>
      <c r="Y365" s="130" t="str">
        <f>IFERROR(_xlfn.XLOOKUP($A365,'Raw Data'!$G:$G,'Raw Data'!AJ:AJ),"")</f>
        <v/>
      </c>
      <c r="Z365" s="130" t="str">
        <f>IFERROR(_xlfn.XLOOKUP($A365,'Raw Data'!$G:$G,'Raw Data'!AK:AK),"")</f>
        <v/>
      </c>
      <c r="AA365" s="130" t="str">
        <f>IFERROR(_xlfn.XLOOKUP($A365,'Raw Data'!$G:$G,'Raw Data'!AL:AL),"")</f>
        <v/>
      </c>
      <c r="AB365" s="130" t="str">
        <f>IFERROR(_xlfn.XLOOKUP($A365,'Raw Data'!$G:$G,'Raw Data'!H:H),"")</f>
        <v/>
      </c>
      <c r="AC365" s="76">
        <f>IFERROR(_xlfn.XLOOKUP($D365,'Modelling New'!$D:$D,'Modelling New'!P:P),"")</f>
        <v>6.7870967741935484</v>
      </c>
      <c r="AD365" s="130">
        <f>IFERROR(_xlfn.XLOOKUP($D365,'Modelling New'!$D:$D,'Modelling New'!$T:$T)*1000,"")</f>
        <v>38219.028541703687</v>
      </c>
      <c r="AE365" s="138">
        <f>IFERROR(_xlfn.XLOOKUP($D365,'Modelling New'!$D:$D,'Modelling New'!O:O),"")</f>
        <v>0.70205720444645292</v>
      </c>
      <c r="AF365" s="137">
        <f>IFERROR(_xlfn.XLOOKUP($D365,'Modelling New'!$D:$D,'Modelling New'!W:W),"")</f>
        <v>0.19853875781657757</v>
      </c>
      <c r="AG365" s="137">
        <f>IFERROR(_xlfn.XLOOKUP($D365,'Modelling New'!$D:$D,'Modelling New'!AE:AE),"")</f>
        <v>0.98040000000000005</v>
      </c>
      <c r="AH365" s="156">
        <f>IFERROR(_xlfn.XLOOKUP($D365,'Modelling New'!$D:$D,'Modelling New'!AF:AF),"")</f>
        <v>0.98</v>
      </c>
      <c r="AN365" s="134"/>
      <c r="AO365" s="137"/>
      <c r="AP365" s="137"/>
      <c r="AQ365" s="137"/>
      <c r="AR365" s="130">
        <f>'Basic Data'!$B$98/1000</f>
        <v>8.0208999999999993</v>
      </c>
    </row>
    <row r="366" spans="1:44" x14ac:dyDescent="0.3">
      <c r="A366" s="129">
        <f t="shared" si="23"/>
        <v>46109</v>
      </c>
      <c r="B366" s="130">
        <f>YEAR(Table13[[#This Row],[Date]])+IF(MONTH(Table13[[#This Row],[Date]])&gt;=4,1,0)</f>
        <v>2026</v>
      </c>
      <c r="C366" s="7">
        <f>YEAR(Table13[[#This Row],[Date]])</f>
        <v>2026</v>
      </c>
      <c r="D366" s="131">
        <f>Table13[[#This Row],[Date]]-DAY(Table13[[#This Row],[Date]])+1</f>
        <v>46082</v>
      </c>
      <c r="E366" s="7">
        <f t="shared" si="20"/>
        <v>31</v>
      </c>
      <c r="F366" s="132" t="str">
        <f>IFERROR(_xlfn.XLOOKUP($A366,'Raw Data'!$G:$G,'Raw Data'!$AM:$AM),"")</f>
        <v/>
      </c>
      <c r="G366" s="133" t="str">
        <f>IFERROR(_xlfn.XLOOKUP($A366,'Raw Data'!$G:$G,'Raw Data'!$AB:$AB),"")</f>
        <v/>
      </c>
      <c r="H366" s="133"/>
      <c r="I366" s="133" t="str">
        <f>IFERROR(_xlfn.XLOOKUP($A366,'Raw Data'!$G:$G,'Raw Data'!$AC:$AC),"")</f>
        <v/>
      </c>
      <c r="J366" s="133"/>
      <c r="K366" s="133" t="str">
        <f>IFERROR(_xlfn.XLOOKUP($A366,'Raw Data'!$G:$G,'Raw Data'!AD:AD),"")</f>
        <v/>
      </c>
      <c r="L366" s="133" t="str">
        <f>IFERROR(_xlfn.XLOOKUP($A366,'Raw Data'!$G:$G,'Raw Data'!AE:AE),"")</f>
        <v/>
      </c>
      <c r="M366" s="133" t="str">
        <f>IFERROR(_xlfn.XLOOKUP($A366,'Raw Data'!$G:$G,'Raw Data'!AF:AF),"")</f>
        <v/>
      </c>
      <c r="N366" s="133" t="str">
        <f>IFERROR(_xlfn.XLOOKUP($A366,'Raw Data'!$G:$G,'Raw Data'!AG:AG),"")</f>
        <v/>
      </c>
      <c r="O366" s="134" t="str">
        <f>IFERROR(1-SUMIF('Plant BD'!$H:$H,$A366,'Plant BD'!$AE:$AE)/($AA366+SUMIF('Plant BD'!$H:$H,$A366,'Plant BD'!$AE:$AE)),"")</f>
        <v/>
      </c>
      <c r="P366" s="134"/>
      <c r="Q366" s="135"/>
      <c r="R366" s="134" t="str">
        <f>IFERROR(1-SUMIF('Grid BD'!$H:$H,$A366,'Grid BD'!$AD:$AD)/($AA366+SUMIF('Grid BD'!$H:$H,$A366,'Grid BD'!$AD:$AD)),"")</f>
        <v/>
      </c>
      <c r="T366" s="135"/>
      <c r="U366" s="136" t="str">
        <f t="shared" si="21"/>
        <v/>
      </c>
      <c r="V366" s="136"/>
      <c r="W366" s="137" t="str">
        <f t="shared" si="22"/>
        <v/>
      </c>
      <c r="X366" s="130" t="str">
        <f>IFERROR(_xlfn.XLOOKUP($A366,'Raw Data'!$G:$G,'Raw Data'!AI:AI),"")</f>
        <v/>
      </c>
      <c r="Y366" s="130" t="str">
        <f>IFERROR(_xlfn.XLOOKUP($A366,'Raw Data'!$G:$G,'Raw Data'!AJ:AJ),"")</f>
        <v/>
      </c>
      <c r="Z366" s="130" t="str">
        <f>IFERROR(_xlfn.XLOOKUP($A366,'Raw Data'!$G:$G,'Raw Data'!AK:AK),"")</f>
        <v/>
      </c>
      <c r="AA366" s="130" t="str">
        <f>IFERROR(_xlfn.XLOOKUP($A366,'Raw Data'!$G:$G,'Raw Data'!AL:AL),"")</f>
        <v/>
      </c>
      <c r="AB366" s="130" t="str">
        <f>IFERROR(_xlfn.XLOOKUP($A366,'Raw Data'!$G:$G,'Raw Data'!H:H),"")</f>
        <v/>
      </c>
      <c r="AC366" s="76">
        <f>IFERROR(_xlfn.XLOOKUP($D366,'Modelling New'!$D:$D,'Modelling New'!P:P),"")</f>
        <v>6.7870967741935484</v>
      </c>
      <c r="AD366" s="130">
        <f>IFERROR(_xlfn.XLOOKUP($D366,'Modelling New'!$D:$D,'Modelling New'!$T:$T)*1000,"")</f>
        <v>38219.028541703687</v>
      </c>
      <c r="AE366" s="138">
        <f>IFERROR(_xlfn.XLOOKUP($D366,'Modelling New'!$D:$D,'Modelling New'!O:O),"")</f>
        <v>0.70205720444645292</v>
      </c>
      <c r="AF366" s="137">
        <f>IFERROR(_xlfn.XLOOKUP($D366,'Modelling New'!$D:$D,'Modelling New'!W:W),"")</f>
        <v>0.19853875781657757</v>
      </c>
      <c r="AG366" s="137">
        <f>IFERROR(_xlfn.XLOOKUP($D366,'Modelling New'!$D:$D,'Modelling New'!AE:AE),"")</f>
        <v>0.98040000000000005</v>
      </c>
      <c r="AH366" s="156">
        <f>IFERROR(_xlfn.XLOOKUP($D366,'Modelling New'!$D:$D,'Modelling New'!AF:AF),"")</f>
        <v>0.98</v>
      </c>
      <c r="AN366" s="134"/>
      <c r="AO366" s="137"/>
      <c r="AP366" s="137"/>
      <c r="AQ366" s="137"/>
      <c r="AR366" s="130">
        <f>'Basic Data'!$B$98/1000</f>
        <v>8.0208999999999993</v>
      </c>
    </row>
    <row r="367" spans="1:44" x14ac:dyDescent="0.3">
      <c r="A367" s="129">
        <f t="shared" si="23"/>
        <v>46110</v>
      </c>
      <c r="B367" s="130">
        <f>YEAR(Table13[[#This Row],[Date]])+IF(MONTH(Table13[[#This Row],[Date]])&gt;=4,1,0)</f>
        <v>2026</v>
      </c>
      <c r="C367" s="7">
        <f>YEAR(Table13[[#This Row],[Date]])</f>
        <v>2026</v>
      </c>
      <c r="D367" s="131">
        <f>Table13[[#This Row],[Date]]-DAY(Table13[[#This Row],[Date]])+1</f>
        <v>46082</v>
      </c>
      <c r="E367" s="7">
        <f t="shared" si="20"/>
        <v>31</v>
      </c>
      <c r="F367" s="132" t="str">
        <f>IFERROR(_xlfn.XLOOKUP($A367,'Raw Data'!$G:$G,'Raw Data'!$AM:$AM),"")</f>
        <v/>
      </c>
      <c r="G367" s="133" t="str">
        <f>IFERROR(_xlfn.XLOOKUP($A367,'Raw Data'!$G:$G,'Raw Data'!$AB:$AB),"")</f>
        <v/>
      </c>
      <c r="H367" s="133"/>
      <c r="I367" s="133" t="str">
        <f>IFERROR(_xlfn.XLOOKUP($A367,'Raw Data'!$G:$G,'Raw Data'!$AC:$AC),"")</f>
        <v/>
      </c>
      <c r="J367" s="133"/>
      <c r="K367" s="133" t="str">
        <f>IFERROR(_xlfn.XLOOKUP($A367,'Raw Data'!$G:$G,'Raw Data'!AD:AD),"")</f>
        <v/>
      </c>
      <c r="L367" s="133" t="str">
        <f>IFERROR(_xlfn.XLOOKUP($A367,'Raw Data'!$G:$G,'Raw Data'!AE:AE),"")</f>
        <v/>
      </c>
      <c r="M367" s="133" t="str">
        <f>IFERROR(_xlfn.XLOOKUP($A367,'Raw Data'!$G:$G,'Raw Data'!AF:AF),"")</f>
        <v/>
      </c>
      <c r="N367" s="133" t="str">
        <f>IFERROR(_xlfn.XLOOKUP($A367,'Raw Data'!$G:$G,'Raw Data'!AG:AG),"")</f>
        <v/>
      </c>
      <c r="O367" s="134" t="str">
        <f>IFERROR(1-SUMIF('Plant BD'!$H:$H,$A367,'Plant BD'!$AE:$AE)/($AA367+SUMIF('Plant BD'!$H:$H,$A367,'Plant BD'!$AE:$AE)),"")</f>
        <v/>
      </c>
      <c r="P367" s="134"/>
      <c r="Q367" s="135"/>
      <c r="R367" s="134" t="str">
        <f>IFERROR(1-SUMIF('Grid BD'!$H:$H,$A367,'Grid BD'!$AD:$AD)/($AA367+SUMIF('Grid BD'!$H:$H,$A367,'Grid BD'!$AD:$AD)),"")</f>
        <v/>
      </c>
      <c r="T367" s="135"/>
      <c r="U367" s="136" t="str">
        <f t="shared" si="21"/>
        <v/>
      </c>
      <c r="V367" s="136"/>
      <c r="W367" s="137" t="str">
        <f t="shared" si="22"/>
        <v/>
      </c>
      <c r="X367" s="130" t="str">
        <f>IFERROR(_xlfn.XLOOKUP($A367,'Raw Data'!$G:$G,'Raw Data'!AI:AI),"")</f>
        <v/>
      </c>
      <c r="Y367" s="130" t="str">
        <f>IFERROR(_xlfn.XLOOKUP($A367,'Raw Data'!$G:$G,'Raw Data'!AJ:AJ),"")</f>
        <v/>
      </c>
      <c r="Z367" s="130" t="str">
        <f>IFERROR(_xlfn.XLOOKUP($A367,'Raw Data'!$G:$G,'Raw Data'!AK:AK),"")</f>
        <v/>
      </c>
      <c r="AA367" s="130" t="str">
        <f>IFERROR(_xlfn.XLOOKUP($A367,'Raw Data'!$G:$G,'Raw Data'!AL:AL),"")</f>
        <v/>
      </c>
      <c r="AB367" s="130" t="str">
        <f>IFERROR(_xlfn.XLOOKUP($A367,'Raw Data'!$G:$G,'Raw Data'!H:H),"")</f>
        <v/>
      </c>
      <c r="AC367" s="76">
        <f>IFERROR(_xlfn.XLOOKUP($D367,'Modelling New'!$D:$D,'Modelling New'!P:P),"")</f>
        <v>6.7870967741935484</v>
      </c>
      <c r="AD367" s="130">
        <f>IFERROR(_xlfn.XLOOKUP($D367,'Modelling New'!$D:$D,'Modelling New'!$T:$T)*1000,"")</f>
        <v>38219.028541703687</v>
      </c>
      <c r="AE367" s="138">
        <f>IFERROR(_xlfn.XLOOKUP($D367,'Modelling New'!$D:$D,'Modelling New'!O:O),"")</f>
        <v>0.70205720444645292</v>
      </c>
      <c r="AF367" s="137">
        <f>IFERROR(_xlfn.XLOOKUP($D367,'Modelling New'!$D:$D,'Modelling New'!W:W),"")</f>
        <v>0.19853875781657757</v>
      </c>
      <c r="AG367" s="137">
        <f>IFERROR(_xlfn.XLOOKUP($D367,'Modelling New'!$D:$D,'Modelling New'!AE:AE),"")</f>
        <v>0.98040000000000005</v>
      </c>
      <c r="AH367" s="156">
        <f>IFERROR(_xlfn.XLOOKUP($D367,'Modelling New'!$D:$D,'Modelling New'!AF:AF),"")</f>
        <v>0.98</v>
      </c>
      <c r="AN367" s="134"/>
      <c r="AO367" s="137"/>
      <c r="AP367" s="137"/>
      <c r="AQ367" s="137"/>
      <c r="AR367" s="130">
        <f>'Basic Data'!$B$98/1000</f>
        <v>8.0208999999999993</v>
      </c>
    </row>
    <row r="368" spans="1:44" x14ac:dyDescent="0.3">
      <c r="A368" s="129">
        <f t="shared" si="23"/>
        <v>46111</v>
      </c>
      <c r="B368" s="130">
        <f>YEAR(Table13[[#This Row],[Date]])+IF(MONTH(Table13[[#This Row],[Date]])&gt;=4,1,0)</f>
        <v>2026</v>
      </c>
      <c r="C368" s="7">
        <f>YEAR(Table13[[#This Row],[Date]])</f>
        <v>2026</v>
      </c>
      <c r="D368" s="131">
        <f>Table13[[#This Row],[Date]]-DAY(Table13[[#This Row],[Date]])+1</f>
        <v>46082</v>
      </c>
      <c r="E368" s="7">
        <f t="shared" si="20"/>
        <v>31</v>
      </c>
      <c r="F368" s="132" t="str">
        <f>IFERROR(_xlfn.XLOOKUP($A368,'Raw Data'!$G:$G,'Raw Data'!$AM:$AM),"")</f>
        <v/>
      </c>
      <c r="G368" s="133" t="str">
        <f>IFERROR(_xlfn.XLOOKUP($A368,'Raw Data'!$G:$G,'Raw Data'!$AB:$AB),"")</f>
        <v/>
      </c>
      <c r="H368" s="133"/>
      <c r="I368" s="133" t="str">
        <f>IFERROR(_xlfn.XLOOKUP($A368,'Raw Data'!$G:$G,'Raw Data'!$AC:$AC),"")</f>
        <v/>
      </c>
      <c r="J368" s="133"/>
      <c r="K368" s="133" t="str">
        <f>IFERROR(_xlfn.XLOOKUP($A368,'Raw Data'!$G:$G,'Raw Data'!AD:AD),"")</f>
        <v/>
      </c>
      <c r="L368" s="133" t="str">
        <f>IFERROR(_xlfn.XLOOKUP($A368,'Raw Data'!$G:$G,'Raw Data'!AE:AE),"")</f>
        <v/>
      </c>
      <c r="M368" s="133" t="str">
        <f>IFERROR(_xlfn.XLOOKUP($A368,'Raw Data'!$G:$G,'Raw Data'!AF:AF),"")</f>
        <v/>
      </c>
      <c r="N368" s="133" t="str">
        <f>IFERROR(_xlfn.XLOOKUP($A368,'Raw Data'!$G:$G,'Raw Data'!AG:AG),"")</f>
        <v/>
      </c>
      <c r="O368" s="134" t="str">
        <f>IFERROR(1-SUMIF('Plant BD'!$H:$H,$A368,'Plant BD'!$AE:$AE)/($AA368+SUMIF('Plant BD'!$H:$H,$A368,'Plant BD'!$AE:$AE)),"")</f>
        <v/>
      </c>
      <c r="P368" s="134"/>
      <c r="Q368" s="135"/>
      <c r="R368" s="134" t="str">
        <f>IFERROR(1-SUMIF('Grid BD'!$H:$H,$A368,'Grid BD'!$AD:$AD)/($AA368+SUMIF('Grid BD'!$H:$H,$A368,'Grid BD'!$AD:$AD)),"")</f>
        <v/>
      </c>
      <c r="T368" s="135"/>
      <c r="U368" s="136" t="str">
        <f t="shared" si="21"/>
        <v/>
      </c>
      <c r="V368" s="136"/>
      <c r="W368" s="137" t="str">
        <f t="shared" si="22"/>
        <v/>
      </c>
      <c r="X368" s="130" t="str">
        <f>IFERROR(_xlfn.XLOOKUP($A368,'Raw Data'!$G:$G,'Raw Data'!AI:AI),"")</f>
        <v/>
      </c>
      <c r="Y368" s="130" t="str">
        <f>IFERROR(_xlfn.XLOOKUP($A368,'Raw Data'!$G:$G,'Raw Data'!AJ:AJ),"")</f>
        <v/>
      </c>
      <c r="Z368" s="130" t="str">
        <f>IFERROR(_xlfn.XLOOKUP($A368,'Raw Data'!$G:$G,'Raw Data'!AK:AK),"")</f>
        <v/>
      </c>
      <c r="AA368" s="130" t="str">
        <f>IFERROR(_xlfn.XLOOKUP($A368,'Raw Data'!$G:$G,'Raw Data'!AL:AL),"")</f>
        <v/>
      </c>
      <c r="AB368" s="130" t="str">
        <f>IFERROR(_xlfn.XLOOKUP($A368,'Raw Data'!$G:$G,'Raw Data'!H:H),"")</f>
        <v/>
      </c>
      <c r="AC368" s="76">
        <f>IFERROR(_xlfn.XLOOKUP($D368,'Modelling New'!$D:$D,'Modelling New'!P:P),"")</f>
        <v>6.7870967741935484</v>
      </c>
      <c r="AD368" s="130">
        <f>IFERROR(_xlfn.XLOOKUP($D368,'Modelling New'!$D:$D,'Modelling New'!$T:$T)*1000,"")</f>
        <v>38219.028541703687</v>
      </c>
      <c r="AE368" s="138">
        <f>IFERROR(_xlfn.XLOOKUP($D368,'Modelling New'!$D:$D,'Modelling New'!O:O),"")</f>
        <v>0.70205720444645292</v>
      </c>
      <c r="AF368" s="137">
        <f>IFERROR(_xlfn.XLOOKUP($D368,'Modelling New'!$D:$D,'Modelling New'!W:W),"")</f>
        <v>0.19853875781657757</v>
      </c>
      <c r="AG368" s="137">
        <f>IFERROR(_xlfn.XLOOKUP($D368,'Modelling New'!$D:$D,'Modelling New'!AE:AE),"")</f>
        <v>0.98040000000000005</v>
      </c>
      <c r="AH368" s="156">
        <f>IFERROR(_xlfn.XLOOKUP($D368,'Modelling New'!$D:$D,'Modelling New'!AF:AF),"")</f>
        <v>0.98</v>
      </c>
      <c r="AN368" s="134"/>
      <c r="AO368" s="137"/>
      <c r="AP368" s="137"/>
      <c r="AQ368" s="137"/>
      <c r="AR368" s="130">
        <f>'Basic Data'!$B$98/1000</f>
        <v>8.0208999999999993</v>
      </c>
    </row>
    <row r="369" spans="1:44" x14ac:dyDescent="0.3">
      <c r="A369" s="129">
        <f t="shared" si="23"/>
        <v>46112</v>
      </c>
      <c r="B369" s="130">
        <f>YEAR(Table13[[#This Row],[Date]])+IF(MONTH(Table13[[#This Row],[Date]])&gt;=4,1,0)</f>
        <v>2026</v>
      </c>
      <c r="C369" s="7">
        <f>YEAR(Table13[[#This Row],[Date]])</f>
        <v>2026</v>
      </c>
      <c r="D369" s="131">
        <f>Table13[[#This Row],[Date]]-DAY(Table13[[#This Row],[Date]])+1</f>
        <v>46082</v>
      </c>
      <c r="E369" s="7">
        <f t="shared" si="20"/>
        <v>31</v>
      </c>
      <c r="F369" s="132" t="str">
        <f>IFERROR(_xlfn.XLOOKUP($A369,'Raw Data'!$G:$G,'Raw Data'!$AM:$AM),"")</f>
        <v/>
      </c>
      <c r="G369" s="133" t="str">
        <f>IFERROR(_xlfn.XLOOKUP($A369,'Raw Data'!$G:$G,'Raw Data'!$AB:$AB),"")</f>
        <v/>
      </c>
      <c r="H369" s="133"/>
      <c r="I369" s="133" t="str">
        <f>IFERROR(_xlfn.XLOOKUP($A369,'Raw Data'!$G:$G,'Raw Data'!$AC:$AC),"")</f>
        <v/>
      </c>
      <c r="J369" s="133"/>
      <c r="K369" s="133" t="str">
        <f>IFERROR(_xlfn.XLOOKUP($A369,'Raw Data'!$G:$G,'Raw Data'!AD:AD),"")</f>
        <v/>
      </c>
      <c r="L369" s="133" t="str">
        <f>IFERROR(_xlfn.XLOOKUP($A369,'Raw Data'!$G:$G,'Raw Data'!AE:AE),"")</f>
        <v/>
      </c>
      <c r="M369" s="133" t="str">
        <f>IFERROR(_xlfn.XLOOKUP($A369,'Raw Data'!$G:$G,'Raw Data'!AF:AF),"")</f>
        <v/>
      </c>
      <c r="N369" s="133" t="str">
        <f>IFERROR(_xlfn.XLOOKUP($A369,'Raw Data'!$G:$G,'Raw Data'!AG:AG),"")</f>
        <v/>
      </c>
      <c r="O369" s="134" t="str">
        <f>IFERROR(1-SUMIF('Plant BD'!$H:$H,$A369,'Plant BD'!$AE:$AE)/($AA369+SUMIF('Plant BD'!$H:$H,$A369,'Plant BD'!$AE:$AE)),"")</f>
        <v/>
      </c>
      <c r="P369" s="134"/>
      <c r="Q369" s="135"/>
      <c r="R369" s="134" t="str">
        <f>IFERROR(1-SUMIF('Grid BD'!$H:$H,$A369,'Grid BD'!$AD:$AD)/($AA369+SUMIF('Grid BD'!$H:$H,$A369,'Grid BD'!$AD:$AD)),"")</f>
        <v/>
      </c>
      <c r="T369" s="135"/>
      <c r="U369" s="136" t="str">
        <f t="shared" si="21"/>
        <v/>
      </c>
      <c r="V369" s="136"/>
      <c r="W369" s="137" t="str">
        <f t="shared" si="22"/>
        <v/>
      </c>
      <c r="X369" s="130" t="str">
        <f>IFERROR(_xlfn.XLOOKUP($A369,'Raw Data'!$G:$G,'Raw Data'!AI:AI),"")</f>
        <v/>
      </c>
      <c r="Y369" s="130" t="str">
        <f>IFERROR(_xlfn.XLOOKUP($A369,'Raw Data'!$G:$G,'Raw Data'!AJ:AJ),"")</f>
        <v/>
      </c>
      <c r="Z369" s="130" t="str">
        <f>IFERROR(_xlfn.XLOOKUP($A369,'Raw Data'!$G:$G,'Raw Data'!AK:AK),"")</f>
        <v/>
      </c>
      <c r="AA369" s="130" t="str">
        <f>IFERROR(_xlfn.XLOOKUP($A369,'Raw Data'!$G:$G,'Raw Data'!AL:AL),"")</f>
        <v/>
      </c>
      <c r="AB369" s="130" t="str">
        <f>IFERROR(_xlfn.XLOOKUP($A369,'Raw Data'!$G:$G,'Raw Data'!H:H),"")</f>
        <v/>
      </c>
      <c r="AC369" s="76">
        <f>IFERROR(_xlfn.XLOOKUP($D369,'Modelling New'!$D:$D,'Modelling New'!P:P),"")</f>
        <v>6.7870967741935484</v>
      </c>
      <c r="AD369" s="130">
        <f>IFERROR(_xlfn.XLOOKUP($D369,'Modelling New'!$D:$D,'Modelling New'!$T:$T)*1000,"")</f>
        <v>38219.028541703687</v>
      </c>
      <c r="AE369" s="138">
        <f>IFERROR(_xlfn.XLOOKUP($D369,'Modelling New'!$D:$D,'Modelling New'!O:O),"")</f>
        <v>0.70205720444645292</v>
      </c>
      <c r="AF369" s="137">
        <f>IFERROR(_xlfn.XLOOKUP($D369,'Modelling New'!$D:$D,'Modelling New'!W:W),"")</f>
        <v>0.19853875781657757</v>
      </c>
      <c r="AG369" s="137">
        <f>IFERROR(_xlfn.XLOOKUP($D369,'Modelling New'!$D:$D,'Modelling New'!AE:AE),"")</f>
        <v>0.98040000000000005</v>
      </c>
      <c r="AH369" s="156">
        <f>IFERROR(_xlfn.XLOOKUP($D369,'Modelling New'!$D:$D,'Modelling New'!AF:AF),"")</f>
        <v>0.98</v>
      </c>
      <c r="AN369" s="134"/>
      <c r="AO369" s="137"/>
      <c r="AP369" s="137"/>
      <c r="AQ369" s="137"/>
      <c r="AR369" s="130">
        <f>'Basic Data'!$B$98/1000</f>
        <v>8.0208999999999993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18"/>
  <sheetViews>
    <sheetView topLeftCell="A3" zoomScaleNormal="100" workbookViewId="0">
      <pane xSplit="7" ySplit="1" topLeftCell="H103" activePane="bottomRight" state="frozen"/>
      <selection activeCell="A3" sqref="A3"/>
      <selection pane="topRight" activeCell="H3" sqref="H3"/>
      <selection pane="bottomLeft" activeCell="A4" sqref="A4"/>
      <selection pane="bottomRight" activeCell="AJ117" sqref="AJ117"/>
    </sheetView>
  </sheetViews>
  <sheetFormatPr defaultRowHeight="14.4" x14ac:dyDescent="0.3"/>
  <cols>
    <col min="1" max="1" width="11.21875" style="2" bestFit="1" customWidth="1"/>
    <col min="2" max="2" width="12.5546875" style="2" bestFit="1" customWidth="1"/>
    <col min="3" max="4" width="12.21875" style="2" customWidth="1"/>
    <col min="5" max="6" width="9" style="2" customWidth="1"/>
    <col min="7" max="7" width="12" customWidth="1"/>
    <col min="8" max="8" width="9" style="2" customWidth="1"/>
    <col min="9" max="9" width="9.77734375" customWidth="1"/>
    <col min="10" max="22" width="10.77734375" customWidth="1"/>
    <col min="23" max="25" width="9.77734375" style="2" customWidth="1"/>
    <col min="26" max="26" width="10.21875" style="2" customWidth="1"/>
    <col min="27" max="30" width="9.77734375" style="2" customWidth="1"/>
    <col min="31" max="32" width="10.5546875" style="2" customWidth="1"/>
    <col min="33" max="38" width="9.77734375" style="2" customWidth="1"/>
    <col min="39" max="39" width="16.218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55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17">
        <v>0.2638888888888889</v>
      </c>
      <c r="J4" s="117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5">
        <f>SUM(Table3[[#This Row],[Inv1_U1]:[Inv1_U4]])</f>
        <v>5886.5</v>
      </c>
      <c r="X4" s="96">
        <f>SUM(Table3[[#This Row],[Inv2_U1]:[Inv2_U4]])</f>
        <v>8047.2999999999993</v>
      </c>
      <c r="Y4" s="97">
        <f>SUM(Table3[[#This Row],[Inv3_U1]:[Inv3_U4]])</f>
        <v>11267.2</v>
      </c>
      <c r="Z4" s="64">
        <v>87507.7</v>
      </c>
      <c r="AA4" s="64">
        <v>396.05</v>
      </c>
      <c r="AB4" s="60"/>
      <c r="AC4" s="87">
        <v>5.53</v>
      </c>
      <c r="AD4" s="94">
        <v>0</v>
      </c>
      <c r="AE4" s="87">
        <v>45.37</v>
      </c>
      <c r="AF4" s="87">
        <v>0</v>
      </c>
      <c r="AG4" s="87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6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17">
        <v>0.2638888888888889</v>
      </c>
      <c r="J5" s="117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5">
        <f>SUM(Table3[[#This Row],[Inv1_U1]:[Inv1_U4]])</f>
        <v>6603.1</v>
      </c>
      <c r="X5" s="96">
        <f>SUM(Table3[[#This Row],[Inv2_U1]:[Inv2_U4]])</f>
        <v>8699.7999999999993</v>
      </c>
      <c r="Y5" s="97">
        <f>SUM(Table3[[#This Row],[Inv3_U1]:[Inv3_U4]])</f>
        <v>12151.1</v>
      </c>
      <c r="Z5" s="64">
        <v>87534.9</v>
      </c>
      <c r="AA5" s="64">
        <v>396.15</v>
      </c>
      <c r="AB5" s="60"/>
      <c r="AC5" s="87">
        <v>5.95</v>
      </c>
      <c r="AD5" s="94">
        <v>0</v>
      </c>
      <c r="AE5" s="87">
        <v>45.2</v>
      </c>
      <c r="AF5" s="87">
        <v>0</v>
      </c>
      <c r="AG5" s="87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6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17">
        <v>0.2638888888888889</v>
      </c>
      <c r="J6" s="117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5">
        <f>SUM(Table3[[#This Row],[Inv1_U1]:[Inv1_U4]])</f>
        <v>6726</v>
      </c>
      <c r="X6" s="96">
        <f>SUM(Table3[[#This Row],[Inv2_U1]:[Inv2_U4]])</f>
        <v>8740.6</v>
      </c>
      <c r="Y6" s="97">
        <f>SUM(Table3[[#This Row],[Inv3_U1]:[Inv3_U4]])</f>
        <v>12209.6</v>
      </c>
      <c r="Z6" s="64">
        <v>87562.3</v>
      </c>
      <c r="AA6" s="64">
        <v>396.25</v>
      </c>
      <c r="AB6" s="60"/>
      <c r="AC6" s="87">
        <v>5.99</v>
      </c>
      <c r="AD6" s="94">
        <v>0</v>
      </c>
      <c r="AE6" s="87">
        <v>44.04</v>
      </c>
      <c r="AF6" s="87">
        <v>0</v>
      </c>
      <c r="AG6" s="87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6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17">
        <v>0.2638888888888889</v>
      </c>
      <c r="J7" s="117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5">
        <f>SUM(Table3[[#This Row],[Inv1_U1]:[Inv1_U4]])</f>
        <v>6817.9000000000005</v>
      </c>
      <c r="X7" s="96">
        <f>SUM(Table3[[#This Row],[Inv2_U1]:[Inv2_U4]])</f>
        <v>8787.9</v>
      </c>
      <c r="Y7" s="97">
        <f>SUM(Table3[[#This Row],[Inv3_U1]:[Inv3_U4]])</f>
        <v>12276.8</v>
      </c>
      <c r="Z7" s="64">
        <v>87589.95</v>
      </c>
      <c r="AA7" s="64">
        <v>396.35</v>
      </c>
      <c r="AB7" s="60"/>
      <c r="AC7" s="87">
        <v>6.04</v>
      </c>
      <c r="AD7" s="94">
        <v>0</v>
      </c>
      <c r="AE7" s="87">
        <v>45.06</v>
      </c>
      <c r="AF7" s="87">
        <v>0</v>
      </c>
      <c r="AG7" s="87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6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17">
        <v>0.26319444444444445</v>
      </c>
      <c r="J8" s="117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5">
        <f>SUM(Table3[[#This Row],[Inv1_U1]:[Inv1_U4]])</f>
        <v>5707</v>
      </c>
      <c r="X8" s="96">
        <f>SUM(Table3[[#This Row],[Inv2_U1]:[Inv2_U4]])</f>
        <v>9713.9</v>
      </c>
      <c r="Y8" s="97">
        <f>SUM(Table3[[#This Row],[Inv3_U1]:[Inv3_U4]])</f>
        <v>13640</v>
      </c>
      <c r="Z8" s="64">
        <v>87618.75</v>
      </c>
      <c r="AA8" s="64">
        <v>396.45</v>
      </c>
      <c r="AB8" s="60"/>
      <c r="AC8" s="87">
        <v>6.71</v>
      </c>
      <c r="AD8" s="94">
        <v>0</v>
      </c>
      <c r="AE8" s="87">
        <v>44.65</v>
      </c>
      <c r="AF8" s="87">
        <v>0</v>
      </c>
      <c r="AG8" s="87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6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17">
        <v>0.26319444444444445</v>
      </c>
      <c r="J9" s="117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5">
        <f>SUM(Table3[[#This Row],[Inv1_U1]:[Inv1_U4]])</f>
        <v>3835.1</v>
      </c>
      <c r="X9" s="96">
        <f>SUM(Table3[[#This Row],[Inv2_U1]:[Inv2_U4]])</f>
        <v>4689.2000000000007</v>
      </c>
      <c r="Y9" s="97">
        <f>SUM(Table3[[#This Row],[Inv3_U1]:[Inv3_U4]])</f>
        <v>6579</v>
      </c>
      <c r="Z9" s="64">
        <v>87633.7</v>
      </c>
      <c r="AA9" s="64">
        <v>396.55</v>
      </c>
      <c r="AB9" s="60"/>
      <c r="AC9" s="87">
        <v>3.79</v>
      </c>
      <c r="AD9" s="94">
        <v>0</v>
      </c>
      <c r="AE9" s="87">
        <v>36.42</v>
      </c>
      <c r="AF9" s="87">
        <v>0</v>
      </c>
      <c r="AG9" s="87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6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17">
        <v>0.25624999999999998</v>
      </c>
      <c r="J10" s="117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5">
        <f>SUM(Table3[[#This Row],[Inv1_U1]:[Inv1_U4]])</f>
        <v>5755.6</v>
      </c>
      <c r="X10" s="96">
        <f>SUM(Table3[[#This Row],[Inv2_U1]:[Inv2_U4]])</f>
        <v>12424.2</v>
      </c>
      <c r="Y10" s="97">
        <f>SUM(Table3[[#This Row],[Inv3_U1]:[Inv3_U4]])</f>
        <v>14170.1</v>
      </c>
      <c r="Z10" s="64">
        <v>87665.75</v>
      </c>
      <c r="AA10" s="64">
        <v>396.65</v>
      </c>
      <c r="AB10" s="60"/>
      <c r="AC10" s="87">
        <v>6.83</v>
      </c>
      <c r="AD10" s="94">
        <v>0</v>
      </c>
      <c r="AE10" s="87">
        <v>44.06</v>
      </c>
      <c r="AF10" s="87">
        <v>0</v>
      </c>
      <c r="AG10" s="87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6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17">
        <v>0.25833333333333336</v>
      </c>
      <c r="J11" s="117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5">
        <f>SUM(Table3[[#This Row],[Inv1_U1]:[Inv1_U4]])</f>
        <v>4981.2</v>
      </c>
      <c r="X11" s="96">
        <f>SUM(Table3[[#This Row],[Inv2_U1]:[Inv2_U4]])</f>
        <v>12496.099999999999</v>
      </c>
      <c r="Y11" s="97">
        <f>SUM(Table3[[#This Row],[Inv3_U1]:[Inv3_U4]])</f>
        <v>14341.7</v>
      </c>
      <c r="Z11" s="64">
        <v>87697.35</v>
      </c>
      <c r="AA11" s="64">
        <v>396.75</v>
      </c>
      <c r="AB11" s="60"/>
      <c r="AC11" s="87">
        <v>6.96</v>
      </c>
      <c r="AD11" s="94">
        <v>0</v>
      </c>
      <c r="AE11" s="87">
        <v>46.18</v>
      </c>
      <c r="AF11" s="87">
        <v>0</v>
      </c>
      <c r="AG11" s="87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6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17">
        <v>0.26111111111111113</v>
      </c>
      <c r="J12" s="117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5">
        <f>SUM(Table3[[#This Row],[Inv1_U1]:[Inv1_U4]])</f>
        <v>6603</v>
      </c>
      <c r="X12" s="96">
        <f>SUM(Table3[[#This Row],[Inv2_U1]:[Inv2_U4]])</f>
        <v>13478.7</v>
      </c>
      <c r="Y12" s="97">
        <f>SUM(Table3[[#This Row],[Inv3_U1]:[Inv3_U4]])</f>
        <v>14183.2</v>
      </c>
      <c r="Z12" s="64">
        <v>87731.35</v>
      </c>
      <c r="AA12" s="64">
        <v>396.85</v>
      </c>
      <c r="AB12" s="60"/>
      <c r="AC12" s="87">
        <v>6.77</v>
      </c>
      <c r="AD12" s="94">
        <v>0</v>
      </c>
      <c r="AE12" s="87">
        <v>45.22</v>
      </c>
      <c r="AF12" s="87">
        <v>0</v>
      </c>
      <c r="AG12" s="87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6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17">
        <v>0.25833333333333336</v>
      </c>
      <c r="J13" s="117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5">
        <f>SUM(Table3[[#This Row],[Inv1_U1]:[Inv1_U4]])</f>
        <v>9783.5999999999985</v>
      </c>
      <c r="X13" s="96">
        <f>SUM(Table3[[#This Row],[Inv2_U1]:[Inv2_U4]])</f>
        <v>11993.6</v>
      </c>
      <c r="Y13" s="97">
        <f>SUM(Table3[[#This Row],[Inv3_U1]:[Inv3_U4]])</f>
        <v>13807.8</v>
      </c>
      <c r="Z13" s="64">
        <v>87766.65</v>
      </c>
      <c r="AA13" s="64">
        <v>396.95</v>
      </c>
      <c r="AB13" s="60"/>
      <c r="AC13" s="87">
        <v>5.97</v>
      </c>
      <c r="AD13" s="94">
        <v>0</v>
      </c>
      <c r="AE13" s="87">
        <v>45.66</v>
      </c>
      <c r="AF13" s="87">
        <v>0</v>
      </c>
      <c r="AG13" s="87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6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17">
        <v>0.25763888888888886</v>
      </c>
      <c r="J14" s="117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5">
        <f>SUM(Table3[[#This Row],[Inv1_U1]:[Inv1_U4]])</f>
        <v>11852.4</v>
      </c>
      <c r="X14" s="96">
        <f>SUM(Table3[[#This Row],[Inv2_U1]:[Inv2_U4]])</f>
        <v>11474.3</v>
      </c>
      <c r="Y14" s="97">
        <f>SUM(Table3[[#This Row],[Inv3_U1]:[Inv3_U4]])</f>
        <v>12111.099999999999</v>
      </c>
      <c r="Z14" s="64">
        <v>87801.8</v>
      </c>
      <c r="AA14" s="64">
        <v>397.05</v>
      </c>
      <c r="AB14" s="60"/>
      <c r="AC14" s="87">
        <v>5.83</v>
      </c>
      <c r="AD14" s="94">
        <v>0</v>
      </c>
      <c r="AE14" s="87">
        <v>43.19</v>
      </c>
      <c r="AF14" s="87">
        <v>0</v>
      </c>
      <c r="AG14" s="87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6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17">
        <v>0.25694444444444442</v>
      </c>
      <c r="J15" s="117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5">
        <f>SUM(Table3[[#This Row],[Inv1_U1]:[Inv1_U4]])</f>
        <v>12313.7</v>
      </c>
      <c r="X15" s="96">
        <f>SUM(Table3[[#This Row],[Inv2_U1]:[Inv2_U4]])</f>
        <v>11534.599999999999</v>
      </c>
      <c r="Y15" s="97">
        <f>SUM(Table3[[#This Row],[Inv3_U1]:[Inv3_U4]])</f>
        <v>13131.699999999999</v>
      </c>
      <c r="Z15" s="64">
        <v>87838.5</v>
      </c>
      <c r="AA15" s="64">
        <v>397.15</v>
      </c>
      <c r="AB15" s="60"/>
      <c r="AC15" s="87">
        <v>6.34</v>
      </c>
      <c r="AD15" s="94">
        <v>0</v>
      </c>
      <c r="AE15" s="87">
        <v>44.41</v>
      </c>
      <c r="AF15" s="87">
        <v>0</v>
      </c>
      <c r="AG15" s="87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6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17">
        <v>0.25833333333333336</v>
      </c>
      <c r="J16" s="117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5">
        <f>SUM(Table3[[#This Row],[Inv1_U1]:[Inv1_U4]])</f>
        <v>11116.6</v>
      </c>
      <c r="X16" s="96">
        <f>SUM(Table3[[#This Row],[Inv2_U1]:[Inv2_U4]])</f>
        <v>10661.6</v>
      </c>
      <c r="Y16" s="97">
        <f>SUM(Table3[[#This Row],[Inv3_U1]:[Inv3_U4]])</f>
        <v>11246.8</v>
      </c>
      <c r="Z16" s="64">
        <v>87871.25</v>
      </c>
      <c r="AA16" s="64">
        <v>397.25</v>
      </c>
      <c r="AB16" s="60"/>
      <c r="AC16" s="87">
        <v>4.8499999999999996</v>
      </c>
      <c r="AD16" s="94">
        <v>0</v>
      </c>
      <c r="AE16" s="87">
        <v>40.22</v>
      </c>
      <c r="AF16" s="87">
        <v>0</v>
      </c>
      <c r="AG16" s="87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6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17">
        <v>0.24861111111111112</v>
      </c>
      <c r="J17" s="117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5">
        <f>SUM(Table3[[#This Row],[Inv1_U1]:[Inv1_U4]])</f>
        <v>13231.3</v>
      </c>
      <c r="X17" s="96">
        <f>SUM(Table3[[#This Row],[Inv2_U1]:[Inv2_U4]])</f>
        <v>12455.4</v>
      </c>
      <c r="Y17" s="97">
        <f>SUM(Table3[[#This Row],[Inv3_U1]:[Inv3_U4]])</f>
        <v>14015.599999999999</v>
      </c>
      <c r="Z17" s="64">
        <v>87910.65</v>
      </c>
      <c r="AA17" s="64">
        <v>397.35</v>
      </c>
      <c r="AB17" s="60"/>
      <c r="AC17" s="87">
        <v>6.33</v>
      </c>
      <c r="AD17" s="94">
        <v>0</v>
      </c>
      <c r="AE17" s="87">
        <v>41.85</v>
      </c>
      <c r="AF17" s="87">
        <v>0</v>
      </c>
      <c r="AG17" s="87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6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17">
        <v>0.25347222222222221</v>
      </c>
      <c r="J18" s="117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5">
        <f>SUM(Table3[[#This Row],[Inv1_U1]:[Inv1_U4]])</f>
        <v>13271.7</v>
      </c>
      <c r="X18" s="96">
        <f>SUM(Table3[[#This Row],[Inv2_U1]:[Inv2_U4]])</f>
        <v>11694.199999999999</v>
      </c>
      <c r="Y18" s="97">
        <f>SUM(Table3[[#This Row],[Inv3_U1]:[Inv3_U4]])</f>
        <v>14199.1</v>
      </c>
      <c r="Z18" s="64">
        <v>87949.55</v>
      </c>
      <c r="AA18" s="64">
        <v>397.45</v>
      </c>
      <c r="AB18" s="60"/>
      <c r="AC18" s="87">
        <v>6.54</v>
      </c>
      <c r="AD18" s="94">
        <v>0</v>
      </c>
      <c r="AE18" s="87">
        <v>43.84</v>
      </c>
      <c r="AF18" s="87">
        <v>0</v>
      </c>
      <c r="AG18" s="87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6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17">
        <v>0.25138888888888888</v>
      </c>
      <c r="J19" s="117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5">
        <f>SUM(Table3[[#This Row],[Inv1_U1]:[Inv1_U4]])</f>
        <v>12511.099999999999</v>
      </c>
      <c r="X19" s="96">
        <f>SUM(Table3[[#This Row],[Inv2_U1]:[Inv2_U4]])</f>
        <v>10964.7</v>
      </c>
      <c r="Y19" s="97">
        <f>SUM(Table3[[#This Row],[Inv3_U1]:[Inv3_U4]])</f>
        <v>13244.599999999999</v>
      </c>
      <c r="Z19" s="64">
        <v>87986</v>
      </c>
      <c r="AA19" s="64">
        <v>397.55</v>
      </c>
      <c r="AB19" s="60"/>
      <c r="AC19" s="87">
        <v>6.35</v>
      </c>
      <c r="AD19" s="94">
        <v>0</v>
      </c>
      <c r="AE19" s="87">
        <v>45.16</v>
      </c>
      <c r="AF19" s="87">
        <v>0</v>
      </c>
      <c r="AG19" s="87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6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17">
        <v>0.25069444444444444</v>
      </c>
      <c r="J20" s="117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5">
        <f>SUM(Table3[[#This Row],[Inv1_U1]:[Inv1_U4]])</f>
        <v>13008.8</v>
      </c>
      <c r="X20" s="96">
        <f>SUM(Table3[[#This Row],[Inv2_U1]:[Inv2_U4]])</f>
        <v>12143.8</v>
      </c>
      <c r="Y20" s="97">
        <f>SUM(Table3[[#This Row],[Inv3_U1]:[Inv3_U4]])</f>
        <v>13879.4</v>
      </c>
      <c r="Z20" s="64">
        <v>88024.75</v>
      </c>
      <c r="AA20" s="64">
        <v>397.65</v>
      </c>
      <c r="AB20" s="60"/>
      <c r="AC20" s="87">
        <v>6.09</v>
      </c>
      <c r="AD20" s="94">
        <v>0</v>
      </c>
      <c r="AE20" s="87">
        <v>43.95</v>
      </c>
      <c r="AF20" s="87">
        <v>0</v>
      </c>
      <c r="AG20" s="87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6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17">
        <v>0.25069444444444444</v>
      </c>
      <c r="J21" s="117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5">
        <f>SUM(Table3[[#This Row],[Inv1_U1]:[Inv1_U4]])</f>
        <v>11672.4</v>
      </c>
      <c r="X21" s="96">
        <f>SUM(Table3[[#This Row],[Inv2_U1]:[Inv2_U4]])</f>
        <v>10836.1</v>
      </c>
      <c r="Y21" s="97">
        <f>SUM(Table3[[#This Row],[Inv3_U1]:[Inv3_U4]])</f>
        <v>11831.5</v>
      </c>
      <c r="Z21" s="64">
        <v>88058.75</v>
      </c>
      <c r="AA21" s="64">
        <v>397.75</v>
      </c>
      <c r="AB21" s="60"/>
      <c r="AC21" s="87">
        <v>5.28</v>
      </c>
      <c r="AD21" s="94">
        <v>0</v>
      </c>
      <c r="AE21" s="87">
        <v>42.86</v>
      </c>
      <c r="AF21" s="87">
        <v>0</v>
      </c>
      <c r="AG21" s="87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6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17">
        <v>0.25</v>
      </c>
      <c r="J22" s="117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5">
        <f>SUM(Table3[[#This Row],[Inv1_U1]:[Inv1_U4]])</f>
        <v>10006.900000000001</v>
      </c>
      <c r="X22" s="96">
        <f>SUM(Table3[[#This Row],[Inv2_U1]:[Inv2_U4]])</f>
        <v>9609.1</v>
      </c>
      <c r="Y22" s="97">
        <f>SUM(Table3[[#This Row],[Inv3_U1]:[Inv3_U4]])</f>
        <v>10243.4</v>
      </c>
      <c r="Z22" s="64">
        <v>88088.35</v>
      </c>
      <c r="AA22" s="64">
        <v>397.85</v>
      </c>
      <c r="AB22" s="60"/>
      <c r="AC22" s="87">
        <v>5.92</v>
      </c>
      <c r="AD22" s="94">
        <v>0</v>
      </c>
      <c r="AE22" s="87">
        <v>42.54</v>
      </c>
      <c r="AF22" s="87">
        <v>0</v>
      </c>
      <c r="AG22" s="87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6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17">
        <v>0.25</v>
      </c>
      <c r="J23" s="117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5">
        <f>SUM(Table3[[#This Row],[Inv1_U1]:[Inv1_U4]])</f>
        <v>12086.2</v>
      </c>
      <c r="X23" s="96">
        <f>SUM(Table3[[#This Row],[Inv2_U1]:[Inv2_U4]])</f>
        <v>11727.1</v>
      </c>
      <c r="Y23" s="97">
        <f>SUM(Table3[[#This Row],[Inv3_U1]:[Inv3_U4]])</f>
        <v>12341.1</v>
      </c>
      <c r="Z23" s="64">
        <v>88124.2</v>
      </c>
      <c r="AA23" s="64">
        <v>397.95</v>
      </c>
      <c r="AB23" s="60"/>
      <c r="AC23" s="87">
        <v>5.66</v>
      </c>
      <c r="AD23" s="94">
        <v>0</v>
      </c>
      <c r="AE23" s="87">
        <v>43.35</v>
      </c>
      <c r="AF23" s="87">
        <v>0</v>
      </c>
      <c r="AG23" s="87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6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17">
        <v>0.25416666666666665</v>
      </c>
      <c r="J24" s="117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5">
        <f>SUM(Table3[[#This Row],[Inv1_U1]:[Inv1_U4]])</f>
        <v>9113.2000000000007</v>
      </c>
      <c r="X24" s="96">
        <f>SUM(Table3[[#This Row],[Inv2_U1]:[Inv2_U4]])</f>
        <v>8863.7999999999993</v>
      </c>
      <c r="Y24" s="97">
        <f>SUM(Table3[[#This Row],[Inv3_U1]:[Inv3_U4]])</f>
        <v>9262.5</v>
      </c>
      <c r="Z24" s="64">
        <v>88151.2</v>
      </c>
      <c r="AA24" s="64">
        <v>398.05</v>
      </c>
      <c r="AB24" s="60"/>
      <c r="AC24" s="87">
        <v>5.38</v>
      </c>
      <c r="AD24" s="94">
        <v>0</v>
      </c>
      <c r="AE24" s="87">
        <v>43.02</v>
      </c>
      <c r="AF24" s="87">
        <v>0</v>
      </c>
      <c r="AG24" s="87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6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17">
        <v>0.25624999999999998</v>
      </c>
      <c r="J25" s="117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5">
        <f>SUM(Table3[[#This Row],[Inv1_U1]:[Inv1_U4]])</f>
        <v>11357.400000000001</v>
      </c>
      <c r="X25" s="96">
        <f>SUM(Table3[[#This Row],[Inv2_U1]:[Inv2_U4]])</f>
        <v>10945.7</v>
      </c>
      <c r="Y25" s="97">
        <f>SUM(Table3[[#This Row],[Inv3_U1]:[Inv3_U4]])</f>
        <v>11418.399999999998</v>
      </c>
      <c r="Z25" s="64">
        <v>88184.6</v>
      </c>
      <c r="AA25" s="64">
        <v>398.15</v>
      </c>
      <c r="AB25" s="60"/>
      <c r="AC25" s="87">
        <v>5.54</v>
      </c>
      <c r="AD25" s="94">
        <v>0</v>
      </c>
      <c r="AE25" s="87">
        <v>43.31</v>
      </c>
      <c r="AF25" s="87">
        <v>0</v>
      </c>
      <c r="AG25" s="87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6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17">
        <v>0.25347222222222221</v>
      </c>
      <c r="J26" s="117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5">
        <f>SUM(Table3[[#This Row],[Inv1_U1]:[Inv1_U4]])</f>
        <v>13776.699999999999</v>
      </c>
      <c r="X26" s="96">
        <f>SUM(Table3[[#This Row],[Inv2_U1]:[Inv2_U4]])</f>
        <v>12948.599999999999</v>
      </c>
      <c r="Y26" s="97">
        <f>SUM(Table3[[#This Row],[Inv3_U1]:[Inv3_U4]])</f>
        <v>13900.599999999999</v>
      </c>
      <c r="Z26" s="64">
        <v>88224.85</v>
      </c>
      <c r="AA26" s="64">
        <v>398.25</v>
      </c>
      <c r="AB26" s="60"/>
      <c r="AC26" s="87">
        <v>5.12</v>
      </c>
      <c r="AD26" s="94">
        <v>0</v>
      </c>
      <c r="AE26" s="87">
        <v>45.39</v>
      </c>
      <c r="AF26" s="87">
        <v>0</v>
      </c>
      <c r="AG26" s="87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6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17">
        <v>0.25069444444444444</v>
      </c>
      <c r="J27" s="117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5">
        <f>SUM(Table3[[#This Row],[Inv1_U1]:[Inv1_U4]])</f>
        <v>9821.0999999999985</v>
      </c>
      <c r="X27" s="96">
        <f>SUM(Table3[[#This Row],[Inv2_U1]:[Inv2_U4]])</f>
        <v>9465.4</v>
      </c>
      <c r="Y27" s="97">
        <f>SUM(Table3[[#This Row],[Inv3_U1]:[Inv3_U4]])</f>
        <v>10055.4</v>
      </c>
      <c r="Z27" s="64">
        <v>88253.95</v>
      </c>
      <c r="AA27" s="64">
        <v>398.35</v>
      </c>
      <c r="AB27" s="60"/>
      <c r="AC27" s="87">
        <v>5.26</v>
      </c>
      <c r="AD27" s="94">
        <v>0</v>
      </c>
      <c r="AE27" s="87">
        <v>43.8</v>
      </c>
      <c r="AF27" s="87">
        <v>0</v>
      </c>
      <c r="AG27" s="87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6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17">
        <v>0.25</v>
      </c>
      <c r="J28" s="117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5">
        <f>SUM(Table3[[#This Row],[Inv1_U1]:[Inv1_U4]])</f>
        <v>11509.3</v>
      </c>
      <c r="X28" s="96">
        <f>SUM(Table3[[#This Row],[Inv2_U1]:[Inv2_U4]])</f>
        <v>11150.3</v>
      </c>
      <c r="Y28" s="97">
        <f>SUM(Table3[[#This Row],[Inv3_U1]:[Inv3_U4]])</f>
        <v>11671.7</v>
      </c>
      <c r="Z28" s="64">
        <v>88287.95</v>
      </c>
      <c r="AA28" s="64">
        <v>398.45</v>
      </c>
      <c r="AB28" s="60"/>
      <c r="AC28" s="87">
        <v>5.79</v>
      </c>
      <c r="AD28" s="94">
        <v>0</v>
      </c>
      <c r="AE28" s="87">
        <v>46.12</v>
      </c>
      <c r="AF28" s="87">
        <v>0</v>
      </c>
      <c r="AG28" s="87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6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17">
        <v>0.25069444444444444</v>
      </c>
      <c r="J29" s="117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5">
        <f>SUM(Table3[[#This Row],[Inv1_U1]:[Inv1_U4]])</f>
        <v>11120.3</v>
      </c>
      <c r="X29" s="96">
        <f>SUM(Table3[[#This Row],[Inv2_U1]:[Inv2_U4]])</f>
        <v>10708</v>
      </c>
      <c r="Y29" s="97">
        <f>SUM(Table3[[#This Row],[Inv3_U1]:[Inv3_U4]])</f>
        <v>11233.099999999999</v>
      </c>
      <c r="Z29" s="64">
        <v>88320.65</v>
      </c>
      <c r="AA29" s="64">
        <v>398.55</v>
      </c>
      <c r="AB29" s="60"/>
      <c r="AC29" s="87">
        <v>5.92</v>
      </c>
      <c r="AD29" s="94">
        <v>0</v>
      </c>
      <c r="AE29" s="87">
        <v>47.02</v>
      </c>
      <c r="AF29" s="87">
        <v>0</v>
      </c>
      <c r="AG29" s="87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6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17">
        <v>0.25277777777777777</v>
      </c>
      <c r="J30" s="117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5">
        <v>11985</v>
      </c>
      <c r="X30" s="96">
        <v>11520.7</v>
      </c>
      <c r="Y30" s="97">
        <v>12094.7</v>
      </c>
      <c r="Z30" s="64">
        <v>88355.95</v>
      </c>
      <c r="AA30" s="64">
        <v>398.65</v>
      </c>
      <c r="AB30" s="60"/>
      <c r="AC30" s="87">
        <v>5.6</v>
      </c>
      <c r="AD30" s="94">
        <v>0</v>
      </c>
      <c r="AE30" s="87">
        <v>46.38</v>
      </c>
      <c r="AF30" s="87">
        <v>0</v>
      </c>
      <c r="AG30" s="87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6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17">
        <v>0.25347222222222221</v>
      </c>
      <c r="J31" s="117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5">
        <f>SUM(Table3[[#This Row],[Inv1_U1]:[Inv1_U4]])</f>
        <v>10804</v>
      </c>
      <c r="X31" s="96">
        <f>SUM(Table3[[#This Row],[Inv2_U1]:[Inv2_U4]])</f>
        <v>10401</v>
      </c>
      <c r="Y31" s="97">
        <f>SUM(Table3[[#This Row],[Inv3_U1]:[Inv3_U4]])</f>
        <v>10876</v>
      </c>
      <c r="Z31" s="64">
        <v>88387.75</v>
      </c>
      <c r="AA31" s="64">
        <v>398.75</v>
      </c>
      <c r="AB31" s="60"/>
      <c r="AC31" s="87">
        <v>5.72</v>
      </c>
      <c r="AD31" s="94">
        <v>0</v>
      </c>
      <c r="AE31" s="87">
        <v>46.34</v>
      </c>
      <c r="AF31" s="87">
        <v>0</v>
      </c>
      <c r="AG31" s="87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6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17">
        <v>0.25</v>
      </c>
      <c r="J32" s="117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5">
        <f>SUM(Table3[[#This Row],[Inv1_U1]:[Inv1_U4]])</f>
        <v>12514.1</v>
      </c>
      <c r="X32" s="96">
        <f>SUM(Table3[[#This Row],[Inv2_U1]:[Inv2_U4]])</f>
        <v>12075.8</v>
      </c>
      <c r="Y32" s="97">
        <f>SUM(Table3[[#This Row],[Inv3_U1]:[Inv3_U4]])</f>
        <v>12643.3</v>
      </c>
      <c r="Z32" s="64">
        <v>88424.65</v>
      </c>
      <c r="AA32" s="64">
        <v>398.8</v>
      </c>
      <c r="AB32" s="60"/>
      <c r="AC32" s="87">
        <v>5.2</v>
      </c>
      <c r="AD32" s="94">
        <v>0</v>
      </c>
      <c r="AE32" s="87">
        <v>45.56</v>
      </c>
      <c r="AF32" s="87">
        <v>0</v>
      </c>
      <c r="AG32" s="87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6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17">
        <v>0.25</v>
      </c>
      <c r="J33" s="117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5">
        <f>SUM(Table3[[#This Row],[Inv1_U1]:[Inv1_U4]])</f>
        <v>9311.2999999999993</v>
      </c>
      <c r="X33" s="96">
        <f>SUM(Table3[[#This Row],[Inv2_U1]:[Inv2_U4]])</f>
        <v>8954.2000000000007</v>
      </c>
      <c r="Y33" s="97">
        <f>SUM(Table3[[#This Row],[Inv3_U1]:[Inv3_U4]])</f>
        <v>9402.7999999999993</v>
      </c>
      <c r="Z33" s="64">
        <v>88452.05</v>
      </c>
      <c r="AA33" s="64">
        <v>398.9</v>
      </c>
      <c r="AB33" s="60"/>
      <c r="AC33" s="87">
        <v>4.6900000000000004</v>
      </c>
      <c r="AD33" s="94">
        <v>0</v>
      </c>
      <c r="AE33" s="87">
        <v>41.92</v>
      </c>
      <c r="AF33" s="87">
        <v>0</v>
      </c>
      <c r="AG33" s="87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6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17">
        <v>0.25</v>
      </c>
      <c r="J34" s="117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5">
        <f>SUM(Table3[[#This Row],[Inv1_U1]:[Inv1_U4]])</f>
        <v>13697.800000000001</v>
      </c>
      <c r="X34" s="96">
        <f>SUM(Table3[[#This Row],[Inv2_U1]:[Inv2_U4]])</f>
        <v>13167.6</v>
      </c>
      <c r="Y34" s="97">
        <f>SUM(Table3[[#This Row],[Inv3_U1]:[Inv3_U4]])</f>
        <v>13869.9</v>
      </c>
      <c r="Z34" s="64">
        <v>88492.45</v>
      </c>
      <c r="AA34" s="64">
        <v>399</v>
      </c>
      <c r="AB34" s="60"/>
      <c r="AC34" s="87">
        <v>6.33</v>
      </c>
      <c r="AD34" s="94">
        <v>0</v>
      </c>
      <c r="AE34" s="87">
        <v>44.84</v>
      </c>
      <c r="AF34" s="87">
        <v>0</v>
      </c>
      <c r="AG34" s="87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6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17">
        <v>0.25208333333333333</v>
      </c>
      <c r="J35" s="117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5">
        <f>SUM(Table3[[#This Row],[Inv1_U1]:[Inv1_U4]])</f>
        <v>11647.5</v>
      </c>
      <c r="X35" s="96">
        <f>SUM(Table3[[#This Row],[Inv2_U1]:[Inv2_U4]])</f>
        <v>10926.8</v>
      </c>
      <c r="Y35" s="97">
        <f>SUM(Table3[[#This Row],[Inv3_U1]:[Inv3_U4]])</f>
        <v>11748.099999999999</v>
      </c>
      <c r="Z35" s="64">
        <v>88526.5</v>
      </c>
      <c r="AA35" s="64">
        <v>399.1</v>
      </c>
      <c r="AB35" s="60"/>
      <c r="AC35" s="87">
        <v>5.62</v>
      </c>
      <c r="AD35" s="94">
        <v>0</v>
      </c>
      <c r="AE35" s="87">
        <v>44.35</v>
      </c>
      <c r="AF35" s="87">
        <v>0</v>
      </c>
      <c r="AG35" s="87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6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17">
        <v>0.25</v>
      </c>
      <c r="J36" s="117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5">
        <f>SUM(Table3[[#This Row],[Inv1_U1]:[Inv1_U4]])</f>
        <v>13521.5</v>
      </c>
      <c r="X36" s="96">
        <f>SUM(Table3[[#This Row],[Inv2_U1]:[Inv2_U4]])</f>
        <v>12988.1</v>
      </c>
      <c r="Y36" s="97">
        <f>SUM(Table3[[#This Row],[Inv3_U1]:[Inv3_U4]])</f>
        <v>13583.9</v>
      </c>
      <c r="Z36" s="64">
        <v>88566.25</v>
      </c>
      <c r="AA36" s="64">
        <v>399.2</v>
      </c>
      <c r="AB36" s="60"/>
      <c r="AC36" s="87">
        <v>5.77</v>
      </c>
      <c r="AD36" s="94">
        <v>0</v>
      </c>
      <c r="AE36" s="87">
        <v>46.33</v>
      </c>
      <c r="AF36" s="87">
        <v>0</v>
      </c>
      <c r="AG36" s="87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6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17">
        <v>0.25069444444444444</v>
      </c>
      <c r="J37" s="117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5">
        <f>SUM(Table3[[#This Row],[Inv1_U1]:[Inv1_U4]])</f>
        <v>12732.3</v>
      </c>
      <c r="X37" s="96">
        <f>SUM(Table3[[#This Row],[Inv2_U1]:[Inv2_U4]])</f>
        <v>12262.300000000001</v>
      </c>
      <c r="Y37" s="97">
        <f>SUM(Table3[[#This Row],[Inv3_U1]:[Inv3_U4]])</f>
        <v>12807.800000000001</v>
      </c>
      <c r="Z37" s="64">
        <v>88603.7</v>
      </c>
      <c r="AA37" s="64">
        <v>399.3</v>
      </c>
      <c r="AB37" s="60"/>
      <c r="AC37" s="87">
        <v>5.52</v>
      </c>
      <c r="AD37" s="94">
        <v>0</v>
      </c>
      <c r="AE37" s="87">
        <v>45.19</v>
      </c>
      <c r="AF37" s="87">
        <v>0</v>
      </c>
      <c r="AG37" s="87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6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17">
        <v>0.25069444444444444</v>
      </c>
      <c r="J38" s="117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5">
        <f>SUM(Table3[[#This Row],[Inv1_U1]:[Inv1_U4]])</f>
        <v>10568.3</v>
      </c>
      <c r="X38" s="96">
        <f>SUM(Table3[[#This Row],[Inv2_U1]:[Inv2_U4]])</f>
        <v>10177.700000000001</v>
      </c>
      <c r="Y38" s="97">
        <f>SUM(Table3[[#This Row],[Inv3_U1]:[Inv3_U4]])</f>
        <v>10601.7</v>
      </c>
      <c r="Z38" s="64">
        <v>88634.75</v>
      </c>
      <c r="AA38" s="64">
        <v>399.4</v>
      </c>
      <c r="AB38" s="60"/>
      <c r="AC38" s="87">
        <v>6.17</v>
      </c>
      <c r="AD38" s="94">
        <v>0</v>
      </c>
      <c r="AE38" s="87">
        <v>45.19</v>
      </c>
      <c r="AF38" s="87">
        <v>0</v>
      </c>
      <c r="AG38" s="87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6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17">
        <v>0.25486111111111109</v>
      </c>
      <c r="J39" s="117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5">
        <v>13010.099999999999</v>
      </c>
      <c r="X39" s="96">
        <v>12550.8</v>
      </c>
      <c r="Y39" s="97">
        <v>13112</v>
      </c>
      <c r="Z39" s="64">
        <v>88673.1</v>
      </c>
      <c r="AA39" s="64">
        <v>399.5</v>
      </c>
      <c r="AB39" s="60"/>
      <c r="AC39" s="87">
        <v>5.93</v>
      </c>
      <c r="AD39" s="94">
        <v>0</v>
      </c>
      <c r="AE39" s="87">
        <v>45.51</v>
      </c>
      <c r="AF39" s="87">
        <v>0</v>
      </c>
      <c r="AG39" s="87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6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17">
        <v>0.24930555555555556</v>
      </c>
      <c r="J40" s="117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5">
        <f>SUM(Table3[[#This Row],[Inv1_U1]:[Inv1_U4]])</f>
        <v>7000.1</v>
      </c>
      <c r="X40" s="96">
        <f>SUM(Table3[[#This Row],[Inv2_U1]:[Inv2_U4]])</f>
        <v>6681.2</v>
      </c>
      <c r="Y40" s="97">
        <f>SUM(Table3[[#This Row],[Inv3_U1]:[Inv3_U4]])</f>
        <v>7096.7000000000007</v>
      </c>
      <c r="Z40" s="64">
        <v>88693.7</v>
      </c>
      <c r="AA40" s="64">
        <v>399.6</v>
      </c>
      <c r="AB40" s="60"/>
      <c r="AC40" s="87">
        <v>5.27</v>
      </c>
      <c r="AD40" s="94">
        <v>0</v>
      </c>
      <c r="AE40" s="87">
        <v>42.88</v>
      </c>
      <c r="AF40" s="87">
        <v>0</v>
      </c>
      <c r="AG40" s="87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6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17">
        <v>0.25347222222222221</v>
      </c>
      <c r="J41" s="117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5">
        <f>SUM(Table3[[#This Row],[Inv1_U1]:[Inv1_U4]])</f>
        <v>13755.5</v>
      </c>
      <c r="X41" s="96">
        <f>SUM(Table3[[#This Row],[Inv2_U1]:[Inv2_U4]])</f>
        <v>13212.099999999999</v>
      </c>
      <c r="Y41" s="97">
        <f>SUM(Table3[[#This Row],[Inv3_U1]:[Inv3_U4]])</f>
        <v>13896.9</v>
      </c>
      <c r="Z41" s="64">
        <v>88734.2</v>
      </c>
      <c r="AA41" s="64">
        <v>399.7</v>
      </c>
      <c r="AB41" s="60"/>
      <c r="AC41" s="87">
        <v>6.52</v>
      </c>
      <c r="AD41" s="94">
        <v>0</v>
      </c>
      <c r="AE41" s="87">
        <v>45.43</v>
      </c>
      <c r="AF41" s="87">
        <v>0</v>
      </c>
      <c r="AG41" s="87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6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17">
        <v>0.25</v>
      </c>
      <c r="J42" s="117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5">
        <f>SUM(Table3[[#This Row],[Inv1_U1]:[Inv1_U4]])</f>
        <v>13094.3</v>
      </c>
      <c r="X42" s="96">
        <f>SUM(Table3[[#This Row],[Inv2_U1]:[Inv2_U4]])</f>
        <v>12635.4</v>
      </c>
      <c r="Y42" s="97">
        <f>SUM(Table3[[#This Row],[Inv3_U1]:[Inv3_U4]])</f>
        <v>13255</v>
      </c>
      <c r="Z42" s="64">
        <v>88772.85</v>
      </c>
      <c r="AA42" s="64">
        <v>399.8</v>
      </c>
      <c r="AB42" s="60"/>
      <c r="AC42" s="87">
        <v>6.2</v>
      </c>
      <c r="AD42" s="94">
        <v>0</v>
      </c>
      <c r="AE42" s="87">
        <v>44.26</v>
      </c>
      <c r="AF42" s="87">
        <v>0</v>
      </c>
      <c r="AG42" s="87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6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17">
        <v>0.24444444444444444</v>
      </c>
      <c r="J43" s="117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5">
        <f>SUM(Table3[[#This Row],[Inv1_U1]:[Inv1_U4]])</f>
        <v>13175.599999999999</v>
      </c>
      <c r="X43" s="96">
        <f>SUM(Table3[[#This Row],[Inv2_U1]:[Inv2_U4]])</f>
        <v>12847.9</v>
      </c>
      <c r="Y43" s="97">
        <f>SUM(Table3[[#This Row],[Inv3_U1]:[Inv3_U4]])</f>
        <v>13425.9</v>
      </c>
      <c r="Z43" s="64">
        <v>88811.95</v>
      </c>
      <c r="AA43" s="64">
        <v>399.9</v>
      </c>
      <c r="AB43" s="60"/>
      <c r="AC43" s="87">
        <v>6.58</v>
      </c>
      <c r="AD43" s="94">
        <v>0</v>
      </c>
      <c r="AE43" s="87">
        <v>43.99</v>
      </c>
      <c r="AF43" s="87">
        <v>0</v>
      </c>
      <c r="AG43" s="87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6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17">
        <v>0.25138888888888888</v>
      </c>
      <c r="J44" s="117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5">
        <f>SUM(Table3[[#This Row],[Inv1_U1]:[Inv1_U4]])</f>
        <v>13198.599999999999</v>
      </c>
      <c r="X44" s="96">
        <f>SUM(Table3[[#This Row],[Inv2_U1]:[Inv2_U4]])</f>
        <v>12738.300000000001</v>
      </c>
      <c r="Y44" s="97">
        <f>SUM(Table3[[#This Row],[Inv3_U1]:[Inv3_U4]])</f>
        <v>13435.3</v>
      </c>
      <c r="Z44" s="64">
        <v>88851</v>
      </c>
      <c r="AA44" s="64">
        <v>400</v>
      </c>
      <c r="AB44" s="60"/>
      <c r="AC44" s="87">
        <v>6.72</v>
      </c>
      <c r="AD44" s="94">
        <v>0</v>
      </c>
      <c r="AE44" s="87">
        <v>44.03</v>
      </c>
      <c r="AF44" s="87">
        <v>0</v>
      </c>
      <c r="AG44" s="87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6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17">
        <v>0.25069444444444444</v>
      </c>
      <c r="J45" s="117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5">
        <f>SUM(Table3[[#This Row],[Inv1_U1]:[Inv1_U4]])</f>
        <v>13171.5</v>
      </c>
      <c r="X45" s="96">
        <f>SUM(Table3[[#This Row],[Inv2_U1]:[Inv2_U4]])</f>
        <v>12625.999999999998</v>
      </c>
      <c r="Y45" s="97">
        <f>SUM(Table3[[#This Row],[Inv3_U1]:[Inv3_U4]])</f>
        <v>13252.199999999999</v>
      </c>
      <c r="Z45" s="64">
        <v>88889.7</v>
      </c>
      <c r="AA45" s="64">
        <v>400.1</v>
      </c>
      <c r="AB45" s="60"/>
      <c r="AC45" s="87">
        <v>6.54</v>
      </c>
      <c r="AD45" s="94">
        <v>0</v>
      </c>
      <c r="AE45" s="87">
        <v>44.38</v>
      </c>
      <c r="AF45" s="87">
        <v>0</v>
      </c>
      <c r="AG45" s="87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6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17">
        <v>0.25069444444444444</v>
      </c>
      <c r="J46" s="117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5">
        <f>SUM(Table3[[#This Row],[Inv1_U1]:[Inv1_U4]])</f>
        <v>11097</v>
      </c>
      <c r="X46" s="96">
        <f>SUM(Table3[[#This Row],[Inv2_U1]:[Inv2_U4]])</f>
        <v>10805.9</v>
      </c>
      <c r="Y46" s="97">
        <f>SUM(Table3[[#This Row],[Inv3_U1]:[Inv3_U4]])</f>
        <v>11201.4</v>
      </c>
      <c r="Z46" s="64">
        <v>88922.5</v>
      </c>
      <c r="AA46" s="64">
        <v>400.2</v>
      </c>
      <c r="AB46" s="60"/>
      <c r="AC46" s="87">
        <v>4.9800000000000004</v>
      </c>
      <c r="AD46" s="94">
        <v>0</v>
      </c>
      <c r="AE46" s="87">
        <v>42.32</v>
      </c>
      <c r="AF46" s="87">
        <v>0</v>
      </c>
      <c r="AG46" s="87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6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17">
        <v>0.25</v>
      </c>
      <c r="J47" s="117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5">
        <f>SUM(Table3[[#This Row],[Inv1_U1]:[Inv1_U4]])</f>
        <v>11692</v>
      </c>
      <c r="X47" s="96">
        <f>SUM(Table3[[#This Row],[Inv2_U1]:[Inv2_U4]])</f>
        <v>10869.8</v>
      </c>
      <c r="Y47" s="97">
        <f>SUM(Table3[[#This Row],[Inv3_U1]:[Inv3_U4]])</f>
        <v>11591.5</v>
      </c>
      <c r="Z47" s="64">
        <v>88956.4</v>
      </c>
      <c r="AA47" s="64">
        <v>400.3</v>
      </c>
      <c r="AB47" s="60"/>
      <c r="AC47" s="87">
        <v>5.82</v>
      </c>
      <c r="AD47" s="94">
        <v>0</v>
      </c>
      <c r="AE47" s="87">
        <v>43.47</v>
      </c>
      <c r="AF47" s="87">
        <v>0</v>
      </c>
      <c r="AG47" s="87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6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17">
        <v>0.24652777777777779</v>
      </c>
      <c r="J48" s="117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5">
        <f>SUM(Table3[[#This Row],[Inv1_U1]:[Inv1_U4]])</f>
        <v>13509.3</v>
      </c>
      <c r="X48" s="96">
        <f>SUM(Table3[[#This Row],[Inv2_U1]:[Inv2_U4]])</f>
        <v>12935.599999999999</v>
      </c>
      <c r="Y48" s="97">
        <f>SUM(Table3[[#This Row],[Inv3_U1]:[Inv3_U4]])</f>
        <v>13540.8</v>
      </c>
      <c r="Z48" s="64">
        <v>88996.1</v>
      </c>
      <c r="AA48" s="64">
        <v>400.4</v>
      </c>
      <c r="AB48" s="60"/>
      <c r="AC48" s="87">
        <v>6.33</v>
      </c>
      <c r="AD48" s="94">
        <v>0</v>
      </c>
      <c r="AE48" s="87">
        <v>44.17</v>
      </c>
      <c r="AF48" s="87">
        <v>0</v>
      </c>
      <c r="AG48" s="87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6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17">
        <v>0.24374999999999999</v>
      </c>
      <c r="J49" s="117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5">
        <f>SUM(Table3[[#This Row],[Inv1_U1]:[Inv1_U4]])</f>
        <v>11750.7</v>
      </c>
      <c r="X49" s="96">
        <f>SUM(Table3[[#This Row],[Inv2_U1]:[Inv2_U4]])</f>
        <v>11346.199999999999</v>
      </c>
      <c r="Y49" s="97">
        <f>SUM(Table3[[#This Row],[Inv3_U1]:[Inv3_U4]])</f>
        <v>11835.300000000001</v>
      </c>
      <c r="Z49" s="64">
        <v>89030.7</v>
      </c>
      <c r="AA49" s="64">
        <v>400.5</v>
      </c>
      <c r="AB49" s="60"/>
      <c r="AC49" s="87">
        <v>5.18</v>
      </c>
      <c r="AD49" s="94">
        <v>0</v>
      </c>
      <c r="AE49" s="87">
        <v>42.05</v>
      </c>
      <c r="AF49" s="87">
        <v>0</v>
      </c>
      <c r="AG49" s="87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6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17">
        <v>0.24513888888888888</v>
      </c>
      <c r="J50" s="117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5">
        <f>SUM(Table3[[#This Row],[Inv1_U1]:[Inv1_U4]])</f>
        <v>11495.7</v>
      </c>
      <c r="X50" s="96">
        <f>SUM(Table3[[#This Row],[Inv2_U1]:[Inv2_U4]])</f>
        <v>11023.7</v>
      </c>
      <c r="Y50" s="97">
        <f>SUM(Table3[[#This Row],[Inv3_U1]:[Inv3_U4]])</f>
        <v>11696.5</v>
      </c>
      <c r="Z50" s="64">
        <v>89064.6</v>
      </c>
      <c r="AA50" s="64">
        <v>400.6</v>
      </c>
      <c r="AB50" s="60"/>
      <c r="AC50" s="87">
        <v>5.23</v>
      </c>
      <c r="AD50" s="94">
        <v>0</v>
      </c>
      <c r="AE50" s="87">
        <v>41.35</v>
      </c>
      <c r="AF50" s="87">
        <v>0</v>
      </c>
      <c r="AG50" s="87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6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17">
        <v>0.26874999999999999</v>
      </c>
      <c r="J51" s="117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5">
        <f>SUM(Table3[[#This Row],[Inv1_U1]:[Inv1_U4]])</f>
        <v>6904.0999999999995</v>
      </c>
      <c r="X51" s="96">
        <f>SUM(Table3[[#This Row],[Inv2_U1]:[Inv2_U4]])</f>
        <v>6061.5</v>
      </c>
      <c r="Y51" s="97">
        <f>SUM(Table3[[#This Row],[Inv3_U1]:[Inv3_U4]])</f>
        <v>6053.8</v>
      </c>
      <c r="Z51" s="64">
        <v>89083.4</v>
      </c>
      <c r="AA51" s="64">
        <v>400.75</v>
      </c>
      <c r="AB51" s="60"/>
      <c r="AC51" s="87">
        <v>3.03</v>
      </c>
      <c r="AD51" s="94">
        <v>0</v>
      </c>
      <c r="AE51" s="87">
        <v>33.729999999999997</v>
      </c>
      <c r="AF51" s="87">
        <v>0</v>
      </c>
      <c r="AG51" s="87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6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17">
        <v>0.24374999999999999</v>
      </c>
      <c r="J52" s="117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5">
        <f>SUM(Table3[[#This Row],[Inv1_U1]:[Inv1_U4]])</f>
        <v>7650.8</v>
      </c>
      <c r="X52" s="96">
        <f>SUM(Table3[[#This Row],[Inv2_U1]:[Inv2_U4]])</f>
        <v>10805.8</v>
      </c>
      <c r="Y52" s="97">
        <f>SUM(Table3[[#This Row],[Inv3_U1]:[Inv3_U4]])</f>
        <v>11181.4</v>
      </c>
      <c r="Z52" s="64">
        <v>89112.9</v>
      </c>
      <c r="AA52" s="64">
        <v>400.85</v>
      </c>
      <c r="AB52" s="60"/>
      <c r="AC52" s="87">
        <v>5.42</v>
      </c>
      <c r="AD52" s="94">
        <v>0</v>
      </c>
      <c r="AE52" s="87">
        <v>41.83</v>
      </c>
      <c r="AF52" s="87">
        <v>0</v>
      </c>
      <c r="AG52" s="87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6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17">
        <v>0.24305555555555555</v>
      </c>
      <c r="J53" s="117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5">
        <f>SUM(Table3[[#This Row],[Inv1_U1]:[Inv1_U4]])</f>
        <v>10744.4</v>
      </c>
      <c r="X53" s="96">
        <f>SUM(Table3[[#This Row],[Inv2_U1]:[Inv2_U4]])</f>
        <v>10554.4</v>
      </c>
      <c r="Y53" s="97">
        <f>SUM(Table3[[#This Row],[Inv3_U1]:[Inv3_U4]])</f>
        <v>10911</v>
      </c>
      <c r="Z53" s="64">
        <v>89144.8</v>
      </c>
      <c r="AA53" s="64">
        <v>400.95</v>
      </c>
      <c r="AB53" s="60"/>
      <c r="AC53" s="87">
        <v>5.27</v>
      </c>
      <c r="AD53" s="94">
        <v>0</v>
      </c>
      <c r="AE53" s="87">
        <v>40.74</v>
      </c>
      <c r="AF53" s="87">
        <v>0</v>
      </c>
      <c r="AG53" s="87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6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17">
        <v>0.25069444444444444</v>
      </c>
      <c r="J54" s="117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5">
        <f>SUM(Table3[[#This Row],[Inv1_U1]:[Inv1_U4]])</f>
        <v>7405</v>
      </c>
      <c r="X54" s="96">
        <f>SUM(Table3[[#This Row],[Inv2_U1]:[Inv2_U4]])</f>
        <v>7038.8</v>
      </c>
      <c r="Y54" s="97">
        <f>SUM(Table3[[#This Row],[Inv3_U1]:[Inv3_U4]])</f>
        <v>7445.4</v>
      </c>
      <c r="Z54" s="64">
        <v>89166.5</v>
      </c>
      <c r="AA54" s="64">
        <v>401.05</v>
      </c>
      <c r="AB54" s="60"/>
      <c r="AC54" s="87">
        <v>5.23</v>
      </c>
      <c r="AD54" s="94">
        <v>0</v>
      </c>
      <c r="AE54" s="87">
        <v>41.05</v>
      </c>
      <c r="AF54" s="87">
        <v>0</v>
      </c>
      <c r="AG54" s="87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6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17">
        <v>0.25</v>
      </c>
      <c r="J55" s="117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5">
        <f>SUM(Table3[[#This Row],[Inv1_U1]:[Inv1_U4]])</f>
        <v>9613</v>
      </c>
      <c r="X55" s="96">
        <f>SUM(Table3[[#This Row],[Inv2_U1]:[Inv2_U4]])</f>
        <v>9182.4000000000015</v>
      </c>
      <c r="Y55" s="97">
        <f>SUM(Table3[[#This Row],[Inv3_U1]:[Inv3_U4]])</f>
        <v>9681.5</v>
      </c>
      <c r="Z55" s="64">
        <v>89194.8</v>
      </c>
      <c r="AA55" s="64">
        <v>401.15</v>
      </c>
      <c r="AB55" s="60"/>
      <c r="AC55" s="87">
        <v>4.91</v>
      </c>
      <c r="AD55" s="94">
        <v>0</v>
      </c>
      <c r="AE55" s="87">
        <v>40.53</v>
      </c>
      <c r="AF55" s="87">
        <v>0</v>
      </c>
      <c r="AG55" s="87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6">
        <f t="shared" si="3"/>
        <v>12.8</v>
      </c>
    </row>
    <row r="56" spans="1:39" x14ac:dyDescent="0.3">
      <c r="A56" s="211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17">
        <v>0.24791666666666667</v>
      </c>
      <c r="J56" s="117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5">
        <f>SUM(Table3[[#This Row],[Inv1_U1]:[Inv1_U4]])</f>
        <v>10402.200000000001</v>
      </c>
      <c r="X56" s="96">
        <f>SUM(Table3[[#This Row],[Inv2_U1]:[Inv2_U4]])</f>
        <v>10044.200000000001</v>
      </c>
      <c r="Y56" s="97">
        <f>SUM(Table3[[#This Row],[Inv3_U1]:[Inv3_U4]])</f>
        <v>9862</v>
      </c>
      <c r="Z56" s="64">
        <v>89224.9</v>
      </c>
      <c r="AA56" s="64">
        <v>401.25</v>
      </c>
      <c r="AB56" s="60"/>
      <c r="AC56" s="87">
        <v>4.84</v>
      </c>
      <c r="AD56" s="94">
        <v>0</v>
      </c>
      <c r="AE56" s="87">
        <v>40.06</v>
      </c>
      <c r="AF56" s="87">
        <v>0</v>
      </c>
      <c r="AG56" s="87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6">
        <f t="shared" ref="AM56:AM61" si="4">IFERROR((J56-I56)*24,"")</f>
        <v>12.716666666666667</v>
      </c>
    </row>
    <row r="57" spans="1:39" x14ac:dyDescent="0.3">
      <c r="A57" s="211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17">
        <v>0.24305555555555555</v>
      </c>
      <c r="J57" s="117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5">
        <f>SUM(Table3[[#This Row],[Inv1_U1]:[Inv1_U4]])</f>
        <v>6872.5</v>
      </c>
      <c r="X57" s="96">
        <f>SUM(Table3[[#This Row],[Inv2_U1]:[Inv2_U4]])</f>
        <v>6631.5</v>
      </c>
      <c r="Y57" s="97">
        <f>SUM(Table3[[#This Row],[Inv3_U1]:[Inv3_U4]])</f>
        <v>6898.2999999999993</v>
      </c>
      <c r="Z57" s="64">
        <v>89245.1</v>
      </c>
      <c r="AA57" s="64">
        <v>401.35</v>
      </c>
      <c r="AB57" s="60"/>
      <c r="AC57" s="87">
        <v>3.26</v>
      </c>
      <c r="AD57" s="94">
        <v>0</v>
      </c>
      <c r="AE57" s="87">
        <v>33.83</v>
      </c>
      <c r="AF57" s="87">
        <v>0</v>
      </c>
      <c r="AG57" s="87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6">
        <f t="shared" si="4"/>
        <v>12.833333333333332</v>
      </c>
    </row>
    <row r="58" spans="1:39" x14ac:dyDescent="0.3">
      <c r="A58" s="211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17">
        <v>0.24374999999999999</v>
      </c>
      <c r="J58" s="117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5">
        <f>SUM(Table3[[#This Row],[Inv1_U1]:[Inv1_U4]])</f>
        <v>9162.9</v>
      </c>
      <c r="X58" s="96">
        <f>SUM(Table3[[#This Row],[Inv2_U1]:[Inv2_U4]])</f>
        <v>8878.2000000000007</v>
      </c>
      <c r="Y58" s="97">
        <f>SUM(Table3[[#This Row],[Inv3_U1]:[Inv3_U4]])</f>
        <v>9504.7000000000007</v>
      </c>
      <c r="Z58" s="64">
        <v>89272.4</v>
      </c>
      <c r="AA58" s="64">
        <v>401.45</v>
      </c>
      <c r="AB58" s="60"/>
      <c r="AC58" s="87">
        <v>5.56</v>
      </c>
      <c r="AD58" s="94">
        <v>0</v>
      </c>
      <c r="AE58" s="87">
        <v>48.87</v>
      </c>
      <c r="AF58" s="87">
        <v>0</v>
      </c>
      <c r="AG58" s="87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6">
        <f t="shared" si="4"/>
        <v>12.533333333333335</v>
      </c>
    </row>
    <row r="59" spans="1:39" x14ac:dyDescent="0.3">
      <c r="A59" s="211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17">
        <v>0.24652777777777779</v>
      </c>
      <c r="J59" s="117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5">
        <f>SUM(Table3[[#This Row],[Inv1_U1]:[Inv1_U4]])</f>
        <v>10878.900000000001</v>
      </c>
      <c r="X59" s="96">
        <f>SUM(Table3[[#This Row],[Inv2_U1]:[Inv2_U4]])</f>
        <v>10592.6</v>
      </c>
      <c r="Y59" s="97">
        <f>SUM(Table3[[#This Row],[Inv3_U1]:[Inv3_U4]])</f>
        <v>11581</v>
      </c>
      <c r="Z59" s="64">
        <v>89305.15</v>
      </c>
      <c r="AA59" s="64">
        <v>401.55</v>
      </c>
      <c r="AB59" s="60"/>
      <c r="AC59" s="87">
        <v>5.31</v>
      </c>
      <c r="AD59" s="94">
        <v>0</v>
      </c>
      <c r="AE59" s="87">
        <v>36.07</v>
      </c>
      <c r="AF59" s="87">
        <v>0</v>
      </c>
      <c r="AG59" s="87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6">
        <f t="shared" si="4"/>
        <v>12.833333333333332</v>
      </c>
    </row>
    <row r="60" spans="1:39" x14ac:dyDescent="0.3">
      <c r="A60" s="211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17">
        <v>0.25069444444444444</v>
      </c>
      <c r="J60" s="117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5">
        <f>SUM(Table3[[#This Row],[Inv1_U1]:[Inv1_U4]])</f>
        <v>9038</v>
      </c>
      <c r="X60" s="96">
        <f>SUM(Table3[[#This Row],[Inv2_U1]:[Inv2_U4]])</f>
        <v>8795</v>
      </c>
      <c r="Y60" s="97">
        <f>SUM(Table3[[#This Row],[Inv3_U1]:[Inv3_U4]])</f>
        <v>9469.7999999999993</v>
      </c>
      <c r="Z60" s="64">
        <v>89332.2</v>
      </c>
      <c r="AA60" s="64">
        <v>401.65</v>
      </c>
      <c r="AB60" s="60"/>
      <c r="AC60" s="87">
        <v>4.32</v>
      </c>
      <c r="AD60" s="94">
        <v>0</v>
      </c>
      <c r="AE60" s="87">
        <v>34.130000000000003</v>
      </c>
      <c r="AF60" s="87">
        <v>0</v>
      </c>
      <c r="AG60" s="87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6">
        <f t="shared" si="4"/>
        <v>12.583333333333334</v>
      </c>
    </row>
    <row r="61" spans="1:39" x14ac:dyDescent="0.3">
      <c r="A61" s="211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17">
        <v>0.24374999999999999</v>
      </c>
      <c r="J61" s="117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5">
        <f>SUM(Table3[[#This Row],[Inv1_U1]:[Inv1_U4]])</f>
        <v>8086.6</v>
      </c>
      <c r="X61" s="96">
        <f>SUM(Table3[[#This Row],[Inv2_U1]:[Inv2_U4]])</f>
        <v>7740.7000000000007</v>
      </c>
      <c r="Y61" s="97">
        <f>SUM(Table3[[#This Row],[Inv3_U1]:[Inv3_U4]])</f>
        <v>7847</v>
      </c>
      <c r="Z61" s="64">
        <v>89355.7</v>
      </c>
      <c r="AA61" s="64">
        <v>401.75</v>
      </c>
      <c r="AB61" s="60"/>
      <c r="AC61" s="87">
        <v>3.74</v>
      </c>
      <c r="AD61" s="94">
        <v>0</v>
      </c>
      <c r="AE61" s="87">
        <v>33.6</v>
      </c>
      <c r="AF61" s="87">
        <v>0</v>
      </c>
      <c r="AG61" s="87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6">
        <f t="shared" si="4"/>
        <v>12.866666666666667</v>
      </c>
    </row>
    <row r="62" spans="1:39" x14ac:dyDescent="0.3">
      <c r="A62" s="211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17">
        <v>0.25138888888888888</v>
      </c>
      <c r="J62" s="117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5">
        <f>SUM(Table3[[#This Row],[Inv1_U1]:[Inv1_U4]])</f>
        <v>6450.5</v>
      </c>
      <c r="X62" s="96">
        <f>SUM(Table3[[#This Row],[Inv2_U1]:[Inv2_U4]])</f>
        <v>6161.1</v>
      </c>
      <c r="Y62" s="97">
        <f>SUM(Table3[[#This Row],[Inv3_U1]:[Inv3_U4]])</f>
        <v>6455.7000000000007</v>
      </c>
      <c r="Z62" s="64">
        <v>89374.6</v>
      </c>
      <c r="AA62" s="64">
        <v>401.85</v>
      </c>
      <c r="AB62" s="60"/>
      <c r="AC62" s="87">
        <v>2.88</v>
      </c>
      <c r="AD62" s="94">
        <v>0</v>
      </c>
      <c r="AE62" s="87">
        <v>33.68</v>
      </c>
      <c r="AF62" s="87">
        <v>0</v>
      </c>
      <c r="AG62" s="87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6">
        <f t="shared" ref="AM62:AM67" si="5">IFERROR((J62-I62)*24,"")</f>
        <v>12.8</v>
      </c>
    </row>
    <row r="63" spans="1:39" x14ac:dyDescent="0.3">
      <c r="A63" s="211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17">
        <v>0.24374999999999999</v>
      </c>
      <c r="J63" s="117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5">
        <f>SUM(Table3[[#This Row],[Inv1_U1]:[Inv1_U4]])</f>
        <v>6652.5</v>
      </c>
      <c r="X63" s="96">
        <f>SUM(Table3[[#This Row],[Inv2_U1]:[Inv2_U4]])</f>
        <v>6453.3</v>
      </c>
      <c r="Y63" s="97">
        <f>SUM(Table3[[#This Row],[Inv3_U1]:[Inv3_U4]])</f>
        <v>6824.7999999999993</v>
      </c>
      <c r="Z63" s="64">
        <v>89394.35</v>
      </c>
      <c r="AA63" s="64">
        <v>401.95</v>
      </c>
      <c r="AB63" s="60"/>
      <c r="AC63" s="87">
        <v>3.04</v>
      </c>
      <c r="AD63" s="94">
        <v>0</v>
      </c>
      <c r="AE63" s="87">
        <v>32.93</v>
      </c>
      <c r="AF63" s="87">
        <v>0</v>
      </c>
      <c r="AG63" s="87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6">
        <f t="shared" si="5"/>
        <v>12.583333333333334</v>
      </c>
    </row>
    <row r="64" spans="1:39" x14ac:dyDescent="0.3">
      <c r="A64" s="211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17">
        <v>0.24305555555555555</v>
      </c>
      <c r="J64" s="117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5">
        <f>SUM(Table3[[#This Row],[Inv1_U1]:[Inv1_U4]])</f>
        <v>7512.5</v>
      </c>
      <c r="X64" s="96">
        <f>SUM(Table3[[#This Row],[Inv2_U1]:[Inv2_U4]])</f>
        <v>7142.5</v>
      </c>
      <c r="Y64" s="97">
        <f>SUM(Table3[[#This Row],[Inv3_U1]:[Inv3_U4]])</f>
        <v>7588</v>
      </c>
      <c r="Z64" s="64">
        <v>89416.4</v>
      </c>
      <c r="AA64" s="64">
        <v>402.05</v>
      </c>
      <c r="AB64" s="60"/>
      <c r="AC64" s="87">
        <v>3.25</v>
      </c>
      <c r="AD64" s="94">
        <v>0</v>
      </c>
      <c r="AE64" s="87">
        <v>32.46</v>
      </c>
      <c r="AF64" s="87">
        <v>0</v>
      </c>
      <c r="AG64" s="87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6">
        <f t="shared" si="5"/>
        <v>12.833333333333332</v>
      </c>
    </row>
    <row r="65" spans="1:39" x14ac:dyDescent="0.3">
      <c r="A65" s="211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17">
        <v>0.24652777777777779</v>
      </c>
      <c r="J65" s="117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5">
        <f>SUM(Table3[[#This Row],[Inv1_U1]:[Inv1_U4]])</f>
        <v>6420.7</v>
      </c>
      <c r="X65" s="96">
        <f>SUM(Table3[[#This Row],[Inv2_U1]:[Inv2_U4]])</f>
        <v>6151.9</v>
      </c>
      <c r="Y65" s="97">
        <f>SUM(Table3[[#This Row],[Inv3_U1]:[Inv3_U4]])</f>
        <v>6439.5</v>
      </c>
      <c r="Z65" s="64">
        <v>89435.3</v>
      </c>
      <c r="AA65" s="64">
        <v>402.2</v>
      </c>
      <c r="AB65" s="60"/>
      <c r="AC65" s="87">
        <v>2.67</v>
      </c>
      <c r="AD65" s="94">
        <v>0</v>
      </c>
      <c r="AE65" s="87">
        <v>32.15</v>
      </c>
      <c r="AF65" s="87">
        <v>0</v>
      </c>
      <c r="AG65" s="87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6">
        <f t="shared" si="5"/>
        <v>12.733333333333334</v>
      </c>
    </row>
    <row r="66" spans="1:39" x14ac:dyDescent="0.3">
      <c r="A66" s="211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17">
        <v>0.24305555555555555</v>
      </c>
      <c r="J66" s="117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5">
        <f>SUM(Table3[[#This Row],[Inv1_U1]:[Inv1_U4]])</f>
        <v>12077.2</v>
      </c>
      <c r="X66" s="96">
        <f>SUM(Table3[[#This Row],[Inv2_U1]:[Inv2_U4]])</f>
        <v>11545.6</v>
      </c>
      <c r="Y66" s="97">
        <f>SUM(Table3[[#This Row],[Inv3_U1]:[Inv3_U4]])</f>
        <v>12128</v>
      </c>
      <c r="Z66" s="64">
        <v>89470.7</v>
      </c>
      <c r="AA66" s="64">
        <v>402.3</v>
      </c>
      <c r="AB66" s="60"/>
      <c r="AC66" s="87">
        <v>5.3</v>
      </c>
      <c r="AD66" s="94">
        <v>0</v>
      </c>
      <c r="AE66" s="87">
        <v>37.700000000000003</v>
      </c>
      <c r="AF66" s="87">
        <v>0</v>
      </c>
      <c r="AG66" s="87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6">
        <f t="shared" si="5"/>
        <v>12.916666666666666</v>
      </c>
    </row>
    <row r="67" spans="1:39" x14ac:dyDescent="0.3">
      <c r="A67" s="211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17">
        <v>0.24305555555555555</v>
      </c>
      <c r="J67" s="117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5">
        <f>SUM(Table3[[#This Row],[Inv1_U1]:[Inv1_U4]])</f>
        <v>13453.5</v>
      </c>
      <c r="X67" s="96">
        <f>SUM(Table3[[#This Row],[Inv2_U1]:[Inv2_U4]])</f>
        <v>12979.900000000001</v>
      </c>
      <c r="Y67" s="97">
        <f>SUM(Table3[[#This Row],[Inv3_U1]:[Inv3_U4]])</f>
        <v>13644.3</v>
      </c>
      <c r="Z67" s="64">
        <v>89510.5</v>
      </c>
      <c r="AA67" s="64">
        <v>402.4</v>
      </c>
      <c r="AB67" s="60"/>
      <c r="AC67" s="87">
        <v>6.1</v>
      </c>
      <c r="AD67" s="94">
        <v>0</v>
      </c>
      <c r="AE67" s="87">
        <v>39.9</v>
      </c>
      <c r="AF67" s="87">
        <v>0</v>
      </c>
      <c r="AG67" s="87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6">
        <f t="shared" si="5"/>
        <v>12.983333333333333</v>
      </c>
    </row>
    <row r="68" spans="1:39" x14ac:dyDescent="0.3">
      <c r="A68" s="211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17">
        <v>0.24583333333333332</v>
      </c>
      <c r="J68" s="117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5">
        <f>SUM(Table3[[#This Row],[Inv1_U1]:[Inv1_U4]])</f>
        <v>13002</v>
      </c>
      <c r="X68" s="96">
        <f>SUM(Table3[[#This Row],[Inv2_U1]:[Inv2_U4]])</f>
        <v>12529</v>
      </c>
      <c r="Y68" s="97">
        <f>SUM(Table3[[#This Row],[Inv3_U1]:[Inv3_U4]])</f>
        <v>13340.400000000001</v>
      </c>
      <c r="Z68" s="64">
        <v>89549.1</v>
      </c>
      <c r="AA68" s="64">
        <v>402.5</v>
      </c>
      <c r="AB68" s="60"/>
      <c r="AC68" s="87">
        <v>5.88</v>
      </c>
      <c r="AD68" s="94">
        <v>0</v>
      </c>
      <c r="AE68" s="87">
        <v>39.090000000000003</v>
      </c>
      <c r="AF68" s="87">
        <v>0</v>
      </c>
      <c r="AG68" s="87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6">
        <f t="shared" ref="AM68:AM73" si="6">IFERROR((J68-I68)*24,"")</f>
        <v>12.916666666666666</v>
      </c>
    </row>
    <row r="69" spans="1:39" x14ac:dyDescent="0.3">
      <c r="A69" s="211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17" si="7">G68+1</f>
        <v>45810</v>
      </c>
      <c r="H69" s="18">
        <f>'Modelling New'!$AR$1</f>
        <v>8.0208999999999993</v>
      </c>
      <c r="I69" s="117">
        <v>0.24652777777777779</v>
      </c>
      <c r="J69" s="117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5">
        <f>SUM(Table3[[#This Row],[Inv1_U1]:[Inv1_U4]])</f>
        <v>10797.3</v>
      </c>
      <c r="X69" s="96">
        <f>SUM(Table3[[#This Row],[Inv2_U1]:[Inv2_U4]])</f>
        <v>10409.5</v>
      </c>
      <c r="Y69" s="97">
        <f>SUM(Table3[[#This Row],[Inv3_U1]:[Inv3_U4]])</f>
        <v>11398.6</v>
      </c>
      <c r="Z69" s="64">
        <v>89581.5</v>
      </c>
      <c r="AA69" s="64">
        <v>402.6</v>
      </c>
      <c r="AB69" s="60"/>
      <c r="AC69" s="87">
        <v>4.76</v>
      </c>
      <c r="AD69" s="94">
        <v>0</v>
      </c>
      <c r="AE69" s="87">
        <v>36.1</v>
      </c>
      <c r="AF69" s="87">
        <v>0</v>
      </c>
      <c r="AG69" s="87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6">
        <f t="shared" si="6"/>
        <v>12.883333333333333</v>
      </c>
    </row>
    <row r="70" spans="1:39" x14ac:dyDescent="0.3">
      <c r="A70" s="211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17">
        <v>0.25</v>
      </c>
      <c r="J70" s="117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5">
        <f>SUM(Table3[[#This Row],[Inv1_U1]:[Inv1_U4]])</f>
        <v>12134.7</v>
      </c>
      <c r="X70" s="96">
        <f>SUM(Table3[[#This Row],[Inv2_U1]:[Inv2_U4]])</f>
        <v>11724.8</v>
      </c>
      <c r="Y70" s="97">
        <f>SUM(Table3[[#This Row],[Inv3_U1]:[Inv3_U4]])</f>
        <v>12544.5</v>
      </c>
      <c r="Z70" s="64">
        <v>89617.600000000006</v>
      </c>
      <c r="AA70" s="64">
        <v>402.7</v>
      </c>
      <c r="AB70" s="60"/>
      <c r="AC70" s="87">
        <v>5.86</v>
      </c>
      <c r="AD70" s="94">
        <v>0</v>
      </c>
      <c r="AE70" s="87">
        <v>39.56</v>
      </c>
      <c r="AF70" s="87">
        <v>0</v>
      </c>
      <c r="AG70" s="87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6">
        <f t="shared" si="6"/>
        <v>12.600000000000001</v>
      </c>
    </row>
    <row r="71" spans="1:39" x14ac:dyDescent="0.3">
      <c r="A71" s="211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17">
        <v>0.24722222222222223</v>
      </c>
      <c r="J71" s="117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5">
        <f>SUM(Table3[[#This Row],[Inv1_U1]:[Inv1_U4]])</f>
        <v>13819.8</v>
      </c>
      <c r="X71" s="96">
        <f>SUM(Table3[[#This Row],[Inv2_U1]:[Inv2_U4]])</f>
        <v>13312.7</v>
      </c>
      <c r="Y71" s="97">
        <f>SUM(Table3[[#This Row],[Inv3_U1]:[Inv3_U4]])</f>
        <v>14080.2</v>
      </c>
      <c r="Z71" s="64">
        <v>89658.45</v>
      </c>
      <c r="AA71" s="64">
        <v>402.8</v>
      </c>
      <c r="AB71" s="60"/>
      <c r="AC71" s="87">
        <v>6.25</v>
      </c>
      <c r="AD71" s="94">
        <v>0</v>
      </c>
      <c r="AE71" s="87">
        <v>41.45</v>
      </c>
      <c r="AF71" s="87">
        <v>0</v>
      </c>
      <c r="AG71" s="87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6">
        <f t="shared" si="6"/>
        <v>12.733333333333334</v>
      </c>
    </row>
    <row r="72" spans="1:39" x14ac:dyDescent="0.3">
      <c r="A72" s="211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17">
        <v>0.25</v>
      </c>
      <c r="J72" s="117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5">
        <f>SUM(Table3[[#This Row],[Inv1_U1]:[Inv1_U4]])</f>
        <v>9352</v>
      </c>
      <c r="X72" s="96">
        <f>SUM(Table3[[#This Row],[Inv2_U1]:[Inv2_U4]])</f>
        <v>8954.7000000000007</v>
      </c>
      <c r="Y72" s="97">
        <f>SUM(Table3[[#This Row],[Inv3_U1]:[Inv3_U4]])</f>
        <v>9416</v>
      </c>
      <c r="Z72" s="64">
        <v>89685.95</v>
      </c>
      <c r="AA72" s="64">
        <v>402.9</v>
      </c>
      <c r="AB72" s="60"/>
      <c r="AC72" s="87">
        <v>4.03</v>
      </c>
      <c r="AD72" s="94">
        <v>0</v>
      </c>
      <c r="AE72" s="87">
        <v>37.67</v>
      </c>
      <c r="AF72" s="87">
        <v>0</v>
      </c>
      <c r="AG72" s="87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6">
        <f t="shared" si="6"/>
        <v>12.616666666666667</v>
      </c>
    </row>
    <row r="73" spans="1:39" x14ac:dyDescent="0.3">
      <c r="A73" s="211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17">
        <v>0.24930555555555556</v>
      </c>
      <c r="J73" s="117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5">
        <f>SUM(Table3[[#This Row],[Inv1_U1]:[Inv1_U4]])</f>
        <v>10131.099999999999</v>
      </c>
      <c r="X73" s="96">
        <f>SUM(Table3[[#This Row],[Inv2_U1]:[Inv2_U4]])</f>
        <v>9673.9000000000015</v>
      </c>
      <c r="Y73" s="97">
        <f>SUM(Table3[[#This Row],[Inv3_U1]:[Inv3_U4]])</f>
        <v>10407.799999999999</v>
      </c>
      <c r="Z73" s="64">
        <v>89715.9</v>
      </c>
      <c r="AA73" s="64">
        <v>403</v>
      </c>
      <c r="AB73" s="60"/>
      <c r="AC73" s="87">
        <v>4.75</v>
      </c>
      <c r="AD73" s="94">
        <v>0</v>
      </c>
      <c r="AE73" s="87">
        <v>41.22</v>
      </c>
      <c r="AF73" s="87">
        <v>0</v>
      </c>
      <c r="AG73" s="87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6">
        <f t="shared" si="6"/>
        <v>12.483333333333334</v>
      </c>
    </row>
    <row r="74" spans="1:39" x14ac:dyDescent="0.3">
      <c r="A74" s="211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17">
        <v>0.24444444444444444</v>
      </c>
      <c r="J74" s="117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5">
        <f>SUM(Table3[[#This Row],[Inv1_U1]:[Inv1_U4]])</f>
        <v>8476.2999999999993</v>
      </c>
      <c r="X74" s="96">
        <f>SUM(Table3[[#This Row],[Inv2_U1]:[Inv2_U4]])</f>
        <v>8141.7999999999993</v>
      </c>
      <c r="Y74" s="97">
        <f>SUM(Table3[[#This Row],[Inv3_U1]:[Inv3_U4]])</f>
        <v>8662</v>
      </c>
      <c r="Z74" s="64">
        <v>89740.95</v>
      </c>
      <c r="AA74" s="64">
        <v>403.1</v>
      </c>
      <c r="AB74" s="60"/>
      <c r="AC74" s="87">
        <v>4.29</v>
      </c>
      <c r="AD74" s="94">
        <v>0</v>
      </c>
      <c r="AE74" s="87">
        <v>37.89</v>
      </c>
      <c r="AF74" s="87">
        <v>0</v>
      </c>
      <c r="AG74" s="87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6">
        <f t="shared" ref="AM74:AM79" si="8">IFERROR((J74-I74)*24,"")</f>
        <v>12.933333333333334</v>
      </c>
    </row>
    <row r="75" spans="1:39" x14ac:dyDescent="0.3">
      <c r="A75" s="211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17">
        <v>0.24444444444444444</v>
      </c>
      <c r="J75" s="117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5">
        <f>SUM(Table3[[#This Row],[Inv1_U1]:[Inv1_U4]])</f>
        <v>10743</v>
      </c>
      <c r="X75" s="96">
        <f>SUM(Table3[[#This Row],[Inv2_U1]:[Inv2_U4]])</f>
        <v>10288.799999999999</v>
      </c>
      <c r="Y75" s="97">
        <f>SUM(Table3[[#This Row],[Inv3_U1]:[Inv3_U4]])</f>
        <v>10887.400000000001</v>
      </c>
      <c r="Z75" s="64">
        <v>89772.6</v>
      </c>
      <c r="AA75" s="64">
        <v>403.2</v>
      </c>
      <c r="AB75" s="60"/>
      <c r="AC75" s="87">
        <v>4.79</v>
      </c>
      <c r="AD75" s="94">
        <v>0</v>
      </c>
      <c r="AE75" s="87">
        <v>38.24</v>
      </c>
      <c r="AF75" s="87">
        <v>0</v>
      </c>
      <c r="AG75" s="87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6">
        <f t="shared" si="8"/>
        <v>12.533333333333335</v>
      </c>
    </row>
    <row r="76" spans="1:39" x14ac:dyDescent="0.3">
      <c r="A76" s="211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17">
        <v>0.27916666666666667</v>
      </c>
      <c r="J76" s="117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5">
        <f>SUM(Table3[[#This Row],[Inv1_U1]:[Inv1_U4]])</f>
        <v>1591</v>
      </c>
      <c r="X76" s="96">
        <f>SUM(Table3[[#This Row],[Inv2_U1]:[Inv2_U4]])</f>
        <v>1511.5</v>
      </c>
      <c r="Y76" s="97">
        <f>SUM(Table3[[#This Row],[Inv3_U1]:[Inv3_U4]])</f>
        <v>1578.5000000000002</v>
      </c>
      <c r="Z76" s="64">
        <v>89777.2</v>
      </c>
      <c r="AA76" s="64">
        <v>403.3</v>
      </c>
      <c r="AB76" s="60"/>
      <c r="AC76" s="87">
        <v>1.05</v>
      </c>
      <c r="AD76" s="94">
        <v>0</v>
      </c>
      <c r="AE76" s="87">
        <v>26.95</v>
      </c>
      <c r="AF76" s="87">
        <v>0</v>
      </c>
      <c r="AG76" s="87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6">
        <f t="shared" si="8"/>
        <v>12.1</v>
      </c>
    </row>
    <row r="77" spans="1:39" x14ac:dyDescent="0.3">
      <c r="A77" s="211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17">
        <v>0.24930555555555556</v>
      </c>
      <c r="J77" s="117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5">
        <f>SUM(Table3[[#This Row],[Inv1_U1]:[Inv1_U4]])</f>
        <v>3805.9</v>
      </c>
      <c r="X77" s="96">
        <f>SUM(Table3[[#This Row],[Inv2_U1]:[Inv2_U4]])</f>
        <v>3619.1</v>
      </c>
      <c r="Y77" s="97">
        <f>SUM(Table3[[#This Row],[Inv3_U1]:[Inv3_U4]])</f>
        <v>3779.9000000000005</v>
      </c>
      <c r="Z77" s="64">
        <v>89788.3</v>
      </c>
      <c r="AA77" s="64">
        <v>403.4</v>
      </c>
      <c r="AB77" s="60"/>
      <c r="AC77" s="87">
        <v>1.62</v>
      </c>
      <c r="AD77" s="94">
        <v>0</v>
      </c>
      <c r="AE77" s="87">
        <v>28.69</v>
      </c>
      <c r="AF77" s="87">
        <v>0</v>
      </c>
      <c r="AG77" s="87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6">
        <f t="shared" si="8"/>
        <v>12.616666666666667</v>
      </c>
    </row>
    <row r="78" spans="1:39" x14ac:dyDescent="0.3">
      <c r="A78" s="211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17">
        <v>0.25486111111111109</v>
      </c>
      <c r="J78" s="117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5">
        <f>SUM(Table3[[#This Row],[Inv1_U1]:[Inv1_U4]])</f>
        <v>8499.7000000000007</v>
      </c>
      <c r="X78" s="96">
        <f>SUM(Table3[[#This Row],[Inv2_U1]:[Inv2_U4]])</f>
        <v>8169.9999999999991</v>
      </c>
      <c r="Y78" s="97">
        <f>SUM(Table3[[#This Row],[Inv3_U1]:[Inv3_U4]])</f>
        <v>8575.3000000000011</v>
      </c>
      <c r="Z78" s="64">
        <v>89813.3</v>
      </c>
      <c r="AA78" s="64">
        <v>403.5</v>
      </c>
      <c r="AB78" s="60"/>
      <c r="AC78" s="87">
        <v>3.59</v>
      </c>
      <c r="AD78" s="94">
        <v>0</v>
      </c>
      <c r="AE78" s="87">
        <v>32.619999999999997</v>
      </c>
      <c r="AF78" s="87">
        <v>0</v>
      </c>
      <c r="AG78" s="87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6">
        <f t="shared" si="8"/>
        <v>12.566666666666666</v>
      </c>
    </row>
    <row r="79" spans="1:39" x14ac:dyDescent="0.3">
      <c r="A79" s="211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17">
        <v>0.24722222222222223</v>
      </c>
      <c r="J79" s="117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5">
        <f>SUM(Table3[[#This Row],[Inv1_U1]:[Inv1_U4]])</f>
        <v>8752.2999999999993</v>
      </c>
      <c r="X79" s="96">
        <f>SUM(Table3[[#This Row],[Inv2_U1]:[Inv2_U4]])</f>
        <v>8344.6</v>
      </c>
      <c r="Y79" s="97">
        <f>SUM(Table3[[#This Row],[Inv3_U1]:[Inv3_U4]])</f>
        <v>8827.3000000000011</v>
      </c>
      <c r="Z79" s="64">
        <v>89839</v>
      </c>
      <c r="AA79" s="64">
        <v>403.6</v>
      </c>
      <c r="AB79" s="60"/>
      <c r="AC79" s="87">
        <v>3.8</v>
      </c>
      <c r="AD79" s="94">
        <v>0</v>
      </c>
      <c r="AE79" s="87">
        <v>36.04</v>
      </c>
      <c r="AF79" s="87">
        <v>0</v>
      </c>
      <c r="AG79" s="87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6">
        <f t="shared" si="8"/>
        <v>12.633333333333333</v>
      </c>
    </row>
    <row r="80" spans="1:39" x14ac:dyDescent="0.3">
      <c r="A80" s="211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17">
        <v>0.24722222222222223</v>
      </c>
      <c r="J80" s="117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5">
        <f>SUM(Table3[[#This Row],[Inv1_U1]:[Inv1_U4]])</f>
        <v>9372.6</v>
      </c>
      <c r="X80" s="96">
        <f>SUM(Table3[[#This Row],[Inv2_U1]:[Inv2_U4]])</f>
        <v>8961.7000000000007</v>
      </c>
      <c r="Y80" s="97">
        <f>SUM(Table3[[#This Row],[Inv3_U1]:[Inv3_U4]])</f>
        <v>9522.2999999999993</v>
      </c>
      <c r="Z80" s="64">
        <v>89866.6</v>
      </c>
      <c r="AA80" s="64">
        <v>403.7</v>
      </c>
      <c r="AB80" s="60"/>
      <c r="AC80" s="87">
        <v>4.26</v>
      </c>
      <c r="AD80" s="94">
        <v>0</v>
      </c>
      <c r="AE80" s="87">
        <v>38.42</v>
      </c>
      <c r="AF80" s="87">
        <v>0</v>
      </c>
      <c r="AG80" s="87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6">
        <f>IFERROR((J80-I80)*24,"")</f>
        <v>12.683333333333334</v>
      </c>
    </row>
    <row r="81" spans="1:39" x14ac:dyDescent="0.3">
      <c r="A81" s="211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17">
        <v>0.24513888888888888</v>
      </c>
      <c r="J81" s="117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5">
        <f>SUM(Table3[[#This Row],[Inv1_U1]:[Inv1_U4]])</f>
        <v>6694</v>
      </c>
      <c r="X81" s="96">
        <f>SUM(Table3[[#This Row],[Inv2_U1]:[Inv2_U4]])</f>
        <v>6482.2</v>
      </c>
      <c r="Y81" s="97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7">
        <v>3.77</v>
      </c>
      <c r="AD81" s="94">
        <v>0</v>
      </c>
      <c r="AE81" s="87">
        <v>35.770000000000003</v>
      </c>
      <c r="AF81" s="87">
        <v>0</v>
      </c>
      <c r="AG81" s="87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6">
        <f t="shared" ref="AM81:AM82" si="9">IFERROR((J81-I81)*24,"")</f>
        <v>12.883333333333333</v>
      </c>
    </row>
    <row r="82" spans="1:39" x14ac:dyDescent="0.3">
      <c r="A82" s="211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17">
        <v>0.24791666666666667</v>
      </c>
      <c r="J82" s="117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5">
        <f>SUM(Table3[[#This Row],[Inv1_U1]:[Inv1_U4]])</f>
        <v>8662.5</v>
      </c>
      <c r="X82" s="96">
        <f>SUM(Table3[[#This Row],[Inv2_U1]:[Inv2_U4]])</f>
        <v>8355.6</v>
      </c>
      <c r="Y82" s="97">
        <f>SUM(Table3[[#This Row],[Inv3_U1]:[Inv3_U4]])</f>
        <v>8879.1</v>
      </c>
      <c r="Z82" s="64">
        <v>89912.05</v>
      </c>
      <c r="AA82" s="64">
        <v>403.9</v>
      </c>
      <c r="AB82" s="60"/>
      <c r="AC82" s="87">
        <v>3.78</v>
      </c>
      <c r="AD82" s="94">
        <v>0</v>
      </c>
      <c r="AE82" s="87">
        <v>33.58</v>
      </c>
      <c r="AF82" s="87">
        <v>0</v>
      </c>
      <c r="AG82" s="87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6">
        <f t="shared" si="9"/>
        <v>12.666666666666668</v>
      </c>
    </row>
    <row r="83" spans="1:39" x14ac:dyDescent="0.3">
      <c r="A83" s="211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17">
        <v>0.24444444444444444</v>
      </c>
      <c r="J83" s="117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5">
        <f>SUM(Table3[[#This Row],[Inv1_U1]:[Inv1_U4]])</f>
        <v>8320.5</v>
      </c>
      <c r="X83" s="96">
        <f>SUM(Table3[[#This Row],[Inv2_U1]:[Inv2_U4]])</f>
        <v>7947.8</v>
      </c>
      <c r="Y83" s="97">
        <f>SUM(Table3[[#This Row],[Inv3_U1]:[Inv3_U4]])</f>
        <v>8497.9</v>
      </c>
      <c r="Z83" s="64">
        <v>89936.6</v>
      </c>
      <c r="AA83" s="64">
        <v>404</v>
      </c>
      <c r="AB83" s="60"/>
      <c r="AC83" s="87">
        <v>3.67</v>
      </c>
      <c r="AD83" s="94">
        <v>0</v>
      </c>
      <c r="AE83" s="87">
        <v>32.799999999999997</v>
      </c>
      <c r="AF83" s="87">
        <v>0</v>
      </c>
      <c r="AG83" s="87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6">
        <f t="shared" ref="AM83:AM84" si="10">IFERROR((J83-I83)*24,"")</f>
        <v>12.933333333333334</v>
      </c>
    </row>
    <row r="84" spans="1:39" x14ac:dyDescent="0.3">
      <c r="A84" s="211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17">
        <v>0.25277777777777777</v>
      </c>
      <c r="J84" s="117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5">
        <f>SUM(Table3[[#This Row],[Inv1_U1]:[Inv1_U4]])</f>
        <v>9804.2000000000007</v>
      </c>
      <c r="X84" s="96">
        <f>SUM(Table3[[#This Row],[Inv2_U1]:[Inv2_U4]])</f>
        <v>9491.2000000000007</v>
      </c>
      <c r="Y84" s="97">
        <f>SUM(Table3[[#This Row],[Inv3_U1]:[Inv3_U4]])</f>
        <v>10187.6</v>
      </c>
      <c r="Z84" s="64">
        <v>89965.85</v>
      </c>
      <c r="AA84" s="64">
        <v>404.1</v>
      </c>
      <c r="AB84" s="60"/>
      <c r="AC84" s="87">
        <v>5.07</v>
      </c>
      <c r="AD84" s="94">
        <v>0</v>
      </c>
      <c r="AE84" s="87">
        <v>36.869999999999997</v>
      </c>
      <c r="AF84" s="87">
        <v>0</v>
      </c>
      <c r="AG84" s="87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6">
        <f t="shared" si="10"/>
        <v>12.716666666666667</v>
      </c>
    </row>
    <row r="85" spans="1:39" x14ac:dyDescent="0.3">
      <c r="A85" s="211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17">
        <v>0.24930555555555556</v>
      </c>
      <c r="J85" s="117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5">
        <f>SUM(Table3[[#This Row],[Inv1_U1]:[Inv1_U4]])</f>
        <v>10893.400000000001</v>
      </c>
      <c r="X85" s="96">
        <f>SUM(Table3[[#This Row],[Inv2_U1]:[Inv2_U4]])</f>
        <v>10551.2</v>
      </c>
      <c r="Y85" s="97">
        <f>SUM(Table3[[#This Row],[Inv3_U1]:[Inv3_U4]])</f>
        <v>11260.599999999999</v>
      </c>
      <c r="Z85" s="64">
        <v>89998.25</v>
      </c>
      <c r="AA85" s="64">
        <v>404.2</v>
      </c>
      <c r="AB85" s="60"/>
      <c r="AC85" s="87">
        <v>4.9800000000000004</v>
      </c>
      <c r="AD85" s="94">
        <v>0</v>
      </c>
      <c r="AE85" s="87">
        <v>36.69</v>
      </c>
      <c r="AF85" s="87">
        <v>0</v>
      </c>
      <c r="AG85" s="87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6">
        <f t="shared" ref="AM85:AM90" si="11">IFERROR((J85-I85)*24,"")</f>
        <v>12.85</v>
      </c>
    </row>
    <row r="86" spans="1:39" x14ac:dyDescent="0.3">
      <c r="A86" s="211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17">
        <v>0.24513888888888888</v>
      </c>
      <c r="J86" s="117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5">
        <f>SUM(Table3[[#This Row],[Inv1_U1]:[Inv1_U4]])</f>
        <v>8475.7000000000007</v>
      </c>
      <c r="X86" s="96">
        <f>SUM(Table3[[#This Row],[Inv2_U1]:[Inv2_U4]])</f>
        <v>8186.2000000000007</v>
      </c>
      <c r="Y86" s="97">
        <f>SUM(Table3[[#This Row],[Inv3_U1]:[Inv3_U4]])</f>
        <v>8649.2000000000007</v>
      </c>
      <c r="Z86" s="64">
        <v>90023.35</v>
      </c>
      <c r="AA86" s="64">
        <v>404.3</v>
      </c>
      <c r="AB86" s="60"/>
      <c r="AC86" s="87">
        <v>4.63</v>
      </c>
      <c r="AD86" s="94">
        <v>0</v>
      </c>
      <c r="AE86" s="87">
        <v>35.83</v>
      </c>
      <c r="AF86" s="87">
        <v>0</v>
      </c>
      <c r="AG86" s="87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6">
        <f t="shared" si="11"/>
        <v>12.833333333333332</v>
      </c>
    </row>
    <row r="87" spans="1:39" x14ac:dyDescent="0.3">
      <c r="A87" s="211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17">
        <v>0.24861111111111112</v>
      </c>
      <c r="J87" s="117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5">
        <f>SUM(Table3[[#This Row],[Inv1_U1]:[Inv1_U4]])</f>
        <v>10487.3</v>
      </c>
      <c r="X87" s="96">
        <f>SUM(Table3[[#This Row],[Inv2_U1]:[Inv2_U4]])</f>
        <v>10176.1</v>
      </c>
      <c r="Y87" s="97">
        <f>SUM(Table3[[#This Row],[Inv3_U1]:[Inv3_U4]])</f>
        <v>10967.5</v>
      </c>
      <c r="Z87" s="64">
        <v>90054.7</v>
      </c>
      <c r="AA87" s="64">
        <v>404.4</v>
      </c>
      <c r="AB87" s="60"/>
      <c r="AC87" s="87">
        <v>4.84</v>
      </c>
      <c r="AD87" s="94">
        <v>0</v>
      </c>
      <c r="AE87" s="87">
        <v>36.57</v>
      </c>
      <c r="AF87" s="87">
        <v>0</v>
      </c>
      <c r="AG87" s="87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6">
        <f t="shared" si="11"/>
        <v>12.816666666666666</v>
      </c>
    </row>
    <row r="88" spans="1:39" x14ac:dyDescent="0.3">
      <c r="A88" s="211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17">
        <v>0.24861111111111112</v>
      </c>
      <c r="J88" s="117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5">
        <f>SUM(Table3[[#This Row],[Inv1_U1]:[Inv1_U4]])</f>
        <v>12730.4</v>
      </c>
      <c r="X88" s="96">
        <f>SUM(Table3[[#This Row],[Inv2_U1]:[Inv2_U4]])</f>
        <v>12265</v>
      </c>
      <c r="Y88" s="97">
        <f>SUM(Table3[[#This Row],[Inv3_U1]:[Inv3_U4]])</f>
        <v>13134.7</v>
      </c>
      <c r="Z88" s="64">
        <v>90092.5</v>
      </c>
      <c r="AA88" s="64">
        <v>404.5</v>
      </c>
      <c r="AB88" s="60"/>
      <c r="AC88" s="87">
        <v>5.98</v>
      </c>
      <c r="AD88" s="94">
        <v>0</v>
      </c>
      <c r="AE88" s="87">
        <v>38.619999999999997</v>
      </c>
      <c r="AF88" s="87">
        <v>0</v>
      </c>
      <c r="AG88" s="87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6">
        <f t="shared" si="11"/>
        <v>12.833333333333332</v>
      </c>
    </row>
    <row r="89" spans="1:39" x14ac:dyDescent="0.3">
      <c r="A89" s="211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17">
        <v>0.24791666666666667</v>
      </c>
      <c r="J89" s="117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5">
        <f>SUM(Table3[[#This Row],[Inv1_U1]:[Inv1_U4]])</f>
        <v>12556.599999999999</v>
      </c>
      <c r="X89" s="96">
        <f>SUM(Table3[[#This Row],[Inv2_U1]:[Inv2_U4]])</f>
        <v>12154.9</v>
      </c>
      <c r="Y89" s="97">
        <f>SUM(Table3[[#This Row],[Inv3_U1]:[Inv3_U4]])</f>
        <v>13024.599999999999</v>
      </c>
      <c r="Z89" s="64">
        <v>90129.9</v>
      </c>
      <c r="AA89" s="64">
        <v>404.6</v>
      </c>
      <c r="AB89" s="60"/>
      <c r="AC89" s="87">
        <v>5.89</v>
      </c>
      <c r="AD89" s="94">
        <v>0</v>
      </c>
      <c r="AE89" s="87">
        <v>38.299999999999997</v>
      </c>
      <c r="AF89" s="87">
        <v>0</v>
      </c>
      <c r="AG89" s="87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6">
        <f t="shared" si="11"/>
        <v>12.816666666666666</v>
      </c>
    </row>
    <row r="90" spans="1:39" x14ac:dyDescent="0.3">
      <c r="A90" s="211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17">
        <v>0.25208333333333333</v>
      </c>
      <c r="J90" s="117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5">
        <f>SUM(Table3[[#This Row],[Inv1_U1]:[Inv1_U4]])</f>
        <v>10924</v>
      </c>
      <c r="X90" s="96">
        <f>SUM(Table3[[#This Row],[Inv2_U1]:[Inv2_U4]])</f>
        <v>10534.7</v>
      </c>
      <c r="Y90" s="97">
        <f>SUM(Table3[[#This Row],[Inv3_U1]:[Inv3_U4]])</f>
        <v>11187.3</v>
      </c>
      <c r="Z90" s="64">
        <v>90162.25</v>
      </c>
      <c r="AA90" s="64">
        <v>404.7</v>
      </c>
      <c r="AB90" s="60"/>
      <c r="AC90" s="87">
        <v>5.0599999999999996</v>
      </c>
      <c r="AD90" s="94">
        <v>0</v>
      </c>
      <c r="AE90" s="87">
        <v>36.049999999999997</v>
      </c>
      <c r="AF90" s="87">
        <v>0</v>
      </c>
      <c r="AG90" s="87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6">
        <f t="shared" si="11"/>
        <v>12.75</v>
      </c>
    </row>
    <row r="91" spans="1:39" x14ac:dyDescent="0.3">
      <c r="A91" s="211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17">
        <v>0.25</v>
      </c>
      <c r="J91" s="117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5">
        <f>SUM(Table3[[#This Row],[Inv1_U1]:[Inv1_U4]])</f>
        <v>5511.3</v>
      </c>
      <c r="X91" s="96">
        <f>SUM(Table3[[#This Row],[Inv2_U1]:[Inv2_U4]])</f>
        <v>5259.4</v>
      </c>
      <c r="Y91" s="97">
        <f>SUM(Table3[[#This Row],[Inv3_U1]:[Inv3_U4]])</f>
        <v>5584.2000000000007</v>
      </c>
      <c r="Z91" s="64">
        <v>90178.45</v>
      </c>
      <c r="AA91" s="64">
        <v>404.8</v>
      </c>
      <c r="AB91" s="60"/>
      <c r="AC91" s="87">
        <v>3.22</v>
      </c>
      <c r="AD91" s="94">
        <v>0</v>
      </c>
      <c r="AE91" s="87">
        <v>31.12</v>
      </c>
      <c r="AF91" s="87">
        <v>0</v>
      </c>
      <c r="AG91" s="87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6">
        <f t="shared" ref="AM91:AM96" si="12">IFERROR((J91-I91)*24,"")</f>
        <v>12.75</v>
      </c>
    </row>
    <row r="92" spans="1:39" x14ac:dyDescent="0.3">
      <c r="A92" s="211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17">
        <v>0.25277777777777777</v>
      </c>
      <c r="J92" s="117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5">
        <f>SUM(Table3[[#This Row],[Inv1_U1]:[Inv1_U4]])</f>
        <v>8695</v>
      </c>
      <c r="X92" s="96">
        <f>SUM(Table3[[#This Row],[Inv2_U1]:[Inv2_U4]])</f>
        <v>8327.7000000000007</v>
      </c>
      <c r="Y92" s="97">
        <f>SUM(Table3[[#This Row],[Inv3_U1]:[Inv3_U4]])</f>
        <v>8790.9</v>
      </c>
      <c r="Z92" s="64">
        <v>90204.05</v>
      </c>
      <c r="AA92" s="64">
        <v>404.9</v>
      </c>
      <c r="AB92" s="60"/>
      <c r="AC92" s="87">
        <v>4.18</v>
      </c>
      <c r="AD92" s="94">
        <v>0</v>
      </c>
      <c r="AE92" s="87">
        <v>34.04</v>
      </c>
      <c r="AF92" s="87">
        <v>0</v>
      </c>
      <c r="AG92" s="87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6">
        <f t="shared" si="12"/>
        <v>12.600000000000001</v>
      </c>
    </row>
    <row r="93" spans="1:39" x14ac:dyDescent="0.3">
      <c r="A93" s="211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17">
        <v>0.25694444444444442</v>
      </c>
      <c r="J93" s="117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5">
        <f>SUM(Table3[[#This Row],[Inv1_U1]:[Inv1_U4]])</f>
        <v>8247.5</v>
      </c>
      <c r="X93" s="96">
        <f>SUM(Table3[[#This Row],[Inv2_U1]:[Inv2_U4]])</f>
        <v>7931.5</v>
      </c>
      <c r="Y93" s="97">
        <f>SUM(Table3[[#This Row],[Inv3_U1]:[Inv3_U4]])</f>
        <v>8322.9</v>
      </c>
      <c r="Z93" s="64">
        <v>90228.35</v>
      </c>
      <c r="AA93" s="64">
        <v>405</v>
      </c>
      <c r="AB93" s="60"/>
      <c r="AC93" s="87">
        <v>3.64</v>
      </c>
      <c r="AD93" s="94">
        <v>0</v>
      </c>
      <c r="AE93" s="87">
        <v>33.06</v>
      </c>
      <c r="AF93" s="87">
        <v>0</v>
      </c>
      <c r="AG93" s="87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6">
        <f t="shared" si="12"/>
        <v>12.633333333333333</v>
      </c>
    </row>
    <row r="94" spans="1:39" x14ac:dyDescent="0.3">
      <c r="A94" s="211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17">
        <v>0.24930555555555556</v>
      </c>
      <c r="J94" s="117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5">
        <f>SUM(Table3[[#This Row],[Inv1_U1]:[Inv1_U4]])</f>
        <v>12301.5</v>
      </c>
      <c r="X94" s="96">
        <f>SUM(Table3[[#This Row],[Inv2_U1]:[Inv2_U4]])</f>
        <v>11850</v>
      </c>
      <c r="Y94" s="97">
        <f>SUM(Table3[[#This Row],[Inv3_U1]:[Inv3_U4]])</f>
        <v>12532.599999999999</v>
      </c>
      <c r="Z94" s="64">
        <v>90264.7</v>
      </c>
      <c r="AA94" s="64">
        <v>405.1</v>
      </c>
      <c r="AB94" s="60"/>
      <c r="AC94" s="87">
        <v>5.82</v>
      </c>
      <c r="AD94" s="94">
        <v>0</v>
      </c>
      <c r="AE94" s="87">
        <v>36.89</v>
      </c>
      <c r="AF94" s="87">
        <v>0</v>
      </c>
      <c r="AG94" s="87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6">
        <f t="shared" si="12"/>
        <v>12.966666666666665</v>
      </c>
    </row>
    <row r="95" spans="1:39" x14ac:dyDescent="0.3">
      <c r="A95" s="211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17">
        <v>0.24930555555555556</v>
      </c>
      <c r="J95" s="117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5">
        <f>SUM(Table3[[#This Row],[Inv1_U1]:[Inv1_U4]])</f>
        <v>11419.7</v>
      </c>
      <c r="X95" s="96">
        <f>SUM(Table3[[#This Row],[Inv2_U1]:[Inv2_U4]])</f>
        <v>11057.6</v>
      </c>
      <c r="Y95" s="97">
        <f>SUM(Table3[[#This Row],[Inv3_U1]:[Inv3_U4]])</f>
        <v>11628.4</v>
      </c>
      <c r="Z95" s="64">
        <v>90298.5</v>
      </c>
      <c r="AA95" s="64">
        <v>405.2</v>
      </c>
      <c r="AB95" s="60"/>
      <c r="AC95" s="87">
        <v>5.24</v>
      </c>
      <c r="AD95" s="94">
        <v>0</v>
      </c>
      <c r="AE95" s="87">
        <v>36.97</v>
      </c>
      <c r="AF95" s="87">
        <v>0</v>
      </c>
      <c r="AG95" s="87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6">
        <f t="shared" si="12"/>
        <v>12.85</v>
      </c>
    </row>
    <row r="96" spans="1:39" x14ac:dyDescent="0.3">
      <c r="A96" s="211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17">
        <v>0.24722222222222223</v>
      </c>
      <c r="J96" s="117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5">
        <f>SUM(Table3[[#This Row],[Inv1_U1]:[Inv1_U4]])</f>
        <v>8131.6</v>
      </c>
      <c r="X96" s="96">
        <f>SUM(Table3[[#This Row],[Inv2_U1]:[Inv2_U4]])</f>
        <v>7810.3</v>
      </c>
      <c r="Y96" s="97">
        <f>SUM(Table3[[#This Row],[Inv3_U1]:[Inv3_U4]])</f>
        <v>8369.9000000000015</v>
      </c>
      <c r="Z96" s="64">
        <v>90322.6</v>
      </c>
      <c r="AA96" s="64">
        <v>405.3</v>
      </c>
      <c r="AB96" s="60"/>
      <c r="AC96" s="87">
        <v>3.64</v>
      </c>
      <c r="AD96" s="94">
        <v>0</v>
      </c>
      <c r="AE96" s="87">
        <v>33.06</v>
      </c>
      <c r="AF96" s="87">
        <v>0</v>
      </c>
      <c r="AG96" s="87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6">
        <f t="shared" si="12"/>
        <v>12.733333333333334</v>
      </c>
    </row>
    <row r="97" spans="1:39" x14ac:dyDescent="0.3">
      <c r="A97" s="211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17">
        <v>0.25</v>
      </c>
      <c r="J97" s="117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5">
        <f>SUM(Table3[[#This Row],[Inv1_U1]:[Inv1_U4]])</f>
        <v>7609.7</v>
      </c>
      <c r="X97" s="96">
        <f>SUM(Table3[[#This Row],[Inv2_U1]:[Inv2_U4]])</f>
        <v>7270.6999999999989</v>
      </c>
      <c r="Y97" s="97">
        <f>SUM(Table3[[#This Row],[Inv3_U1]:[Inv3_U4]])</f>
        <v>7648.4999999999991</v>
      </c>
      <c r="Z97" s="64">
        <v>90344.9</v>
      </c>
      <c r="AA97" s="64">
        <v>405.4</v>
      </c>
      <c r="AB97" s="60"/>
      <c r="AC97" s="87">
        <v>3.25</v>
      </c>
      <c r="AD97" s="94">
        <v>0</v>
      </c>
      <c r="AE97" s="87">
        <v>32.46</v>
      </c>
      <c r="AF97" s="87">
        <v>0</v>
      </c>
      <c r="AG97" s="87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6">
        <f t="shared" ref="AM97:AM102" si="13">IFERROR((J97-I97)*24,"")</f>
        <v>12.5</v>
      </c>
    </row>
    <row r="98" spans="1:39" x14ac:dyDescent="0.3">
      <c r="A98" s="211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17">
        <v>0.25694444444444442</v>
      </c>
      <c r="J98" s="117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5">
        <f>SUM(Table3[[#This Row],[Inv1_U1]:[Inv1_U4]])</f>
        <v>6001.3</v>
      </c>
      <c r="X98" s="96">
        <f>SUM(Table3[[#This Row],[Inv2_U1]:[Inv2_U4]])</f>
        <v>5758.7</v>
      </c>
      <c r="Y98" s="97">
        <f>SUM(Table3[[#This Row],[Inv3_U1]:[Inv3_U4]])</f>
        <v>5997.7</v>
      </c>
      <c r="Z98" s="64">
        <v>90362.5</v>
      </c>
      <c r="AA98" s="64">
        <v>405.5</v>
      </c>
      <c r="AB98" s="60"/>
      <c r="AC98" s="87">
        <v>2.5299999999999998</v>
      </c>
      <c r="AD98" s="94">
        <v>0</v>
      </c>
      <c r="AE98" s="87">
        <v>29.75</v>
      </c>
      <c r="AF98" s="87">
        <v>0</v>
      </c>
      <c r="AG98" s="87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6">
        <f t="shared" si="13"/>
        <v>11.633333333333335</v>
      </c>
    </row>
    <row r="99" spans="1:39" x14ac:dyDescent="0.3">
      <c r="A99" s="211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17">
        <v>0.26597222222222222</v>
      </c>
      <c r="J99" s="117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5">
        <f>SUM(Table3[[#This Row],[Inv1_U1]:[Inv1_U4]])</f>
        <v>3689.4000000000005</v>
      </c>
      <c r="X99" s="96">
        <f>SUM(Table3[[#This Row],[Inv2_U1]:[Inv2_U4]])</f>
        <v>3504.8999999999996</v>
      </c>
      <c r="Y99" s="97">
        <f>SUM(Table3[[#This Row],[Inv3_U1]:[Inv3_U4]])</f>
        <v>3686.2</v>
      </c>
      <c r="Z99" s="64">
        <v>90373.25</v>
      </c>
      <c r="AA99" s="64">
        <v>405.6</v>
      </c>
      <c r="AB99" s="60"/>
      <c r="AC99" s="87">
        <v>1.5</v>
      </c>
      <c r="AD99" s="94">
        <v>0</v>
      </c>
      <c r="AE99" s="87">
        <v>27.01</v>
      </c>
      <c r="AF99" s="87">
        <v>0</v>
      </c>
      <c r="AG99" s="87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6">
        <f t="shared" si="13"/>
        <v>12.416666666666668</v>
      </c>
    </row>
    <row r="100" spans="1:39" x14ac:dyDescent="0.3">
      <c r="A100" s="211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17">
        <v>0.26944444444444443</v>
      </c>
      <c r="J100" s="117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5">
        <f>SUM(Table3[[#This Row],[Inv1_U1]:[Inv1_U4]])</f>
        <v>6100.2</v>
      </c>
      <c r="X100" s="96">
        <f>SUM(Table3[[#This Row],[Inv2_U1]:[Inv2_U4]])</f>
        <v>5876.1</v>
      </c>
      <c r="Y100" s="97">
        <f>SUM(Table3[[#This Row],[Inv3_U1]:[Inv3_U4]])</f>
        <v>6094.8</v>
      </c>
      <c r="Z100" s="64">
        <v>90391.15</v>
      </c>
      <c r="AA100" s="64">
        <v>405.7</v>
      </c>
      <c r="AB100" s="60"/>
      <c r="AC100" s="87">
        <v>2.68</v>
      </c>
      <c r="AD100" s="94">
        <v>0</v>
      </c>
      <c r="AE100" s="87">
        <v>31.01</v>
      </c>
      <c r="AF100" s="87">
        <v>0</v>
      </c>
      <c r="AG100" s="87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6">
        <f t="shared" si="13"/>
        <v>12.133333333333333</v>
      </c>
    </row>
    <row r="101" spans="1:39" x14ac:dyDescent="0.3">
      <c r="A101" s="211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17">
        <v>0.26041666666666669</v>
      </c>
      <c r="J101" s="117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5">
        <f>SUM(Table3[[#This Row],[Inv1_U1]:[Inv1_U4]])</f>
        <v>10408.799999999999</v>
      </c>
      <c r="X101" s="96">
        <f>SUM(Table3[[#This Row],[Inv2_U1]:[Inv2_U4]])</f>
        <v>10071</v>
      </c>
      <c r="Y101" s="97">
        <f>SUM(Table3[[#This Row],[Inv3_U1]:[Inv3_U4]])</f>
        <v>10858</v>
      </c>
      <c r="Z101" s="64">
        <v>90422.2</v>
      </c>
      <c r="AA101" s="64">
        <v>405.8</v>
      </c>
      <c r="AB101" s="60"/>
      <c r="AC101" s="87">
        <v>4.76</v>
      </c>
      <c r="AD101" s="94">
        <v>0</v>
      </c>
      <c r="AE101" s="87">
        <v>35.32</v>
      </c>
      <c r="AF101" s="87">
        <v>0</v>
      </c>
      <c r="AG101" s="87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6">
        <f t="shared" si="13"/>
        <v>12.416666666666668</v>
      </c>
    </row>
    <row r="102" spans="1:39" x14ac:dyDescent="0.3">
      <c r="A102" s="211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17">
        <v>0.24861111111111112</v>
      </c>
      <c r="J102" s="117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5">
        <f>SUM(Table3[[#This Row],[Inv1_U1]:[Inv1_U4]])</f>
        <v>9934.4</v>
      </c>
      <c r="X102" s="96">
        <f>SUM(Table3[[#This Row],[Inv2_U1]:[Inv2_U4]])</f>
        <v>9556.7000000000007</v>
      </c>
      <c r="Y102" s="97">
        <f>SUM(Table3[[#This Row],[Inv3_U1]:[Inv3_U4]])</f>
        <v>10223.1</v>
      </c>
      <c r="Z102" s="64">
        <v>90451.65</v>
      </c>
      <c r="AA102" s="64">
        <v>405.9</v>
      </c>
      <c r="AB102" s="60"/>
      <c r="AC102" s="87">
        <v>4.5999999999999996</v>
      </c>
      <c r="AD102" s="94">
        <v>0</v>
      </c>
      <c r="AE102" s="87">
        <v>33.96</v>
      </c>
      <c r="AF102" s="87">
        <v>0</v>
      </c>
      <c r="AG102" s="87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6">
        <f t="shared" si="13"/>
        <v>12.733333333333334</v>
      </c>
    </row>
    <row r="103" spans="1:39" x14ac:dyDescent="0.3">
      <c r="A103" s="211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17">
        <v>0.25486111111111109</v>
      </c>
      <c r="J103" s="117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5">
        <f>SUM(Table3[[#This Row],[Inv1_U1]:[Inv1_U4]])</f>
        <v>10876.2</v>
      </c>
      <c r="X103" s="96">
        <f>SUM(Table3[[#This Row],[Inv2_U1]:[Inv2_U4]])</f>
        <v>10467.5</v>
      </c>
      <c r="Y103" s="97">
        <f>SUM(Table3[[#This Row],[Inv3_U1]:[Inv3_U4]])</f>
        <v>11097.000000000002</v>
      </c>
      <c r="Z103" s="64">
        <v>90483.8</v>
      </c>
      <c r="AA103" s="64">
        <v>406</v>
      </c>
      <c r="AB103" s="60"/>
      <c r="AC103" s="87">
        <v>5.21</v>
      </c>
      <c r="AD103" s="94">
        <v>0</v>
      </c>
      <c r="AE103" s="87">
        <v>35.729999999999997</v>
      </c>
      <c r="AF103" s="87">
        <v>0</v>
      </c>
      <c r="AG103" s="87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6">
        <f t="shared" ref="AM103:AM108" si="14">IFERROR((J103-I103)*24,"")</f>
        <v>12.616666666666667</v>
      </c>
    </row>
    <row r="104" spans="1:39" x14ac:dyDescent="0.3">
      <c r="A104" s="211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17">
        <v>0.2673611111111111</v>
      </c>
      <c r="J104" s="117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5">
        <f>SUM(Table3[[#This Row],[Inv1_U1]:[Inv1_U4]])</f>
        <v>5230.1000000000004</v>
      </c>
      <c r="X104" s="96">
        <f>SUM(Table3[[#This Row],[Inv2_U1]:[Inv2_U4]])</f>
        <v>5030.7000000000007</v>
      </c>
      <c r="Y104" s="97">
        <f>SUM(Table3[[#This Row],[Inv3_U1]:[Inv3_U4]])</f>
        <v>5275</v>
      </c>
      <c r="Z104" s="64">
        <v>90499.199999999997</v>
      </c>
      <c r="AA104" s="64">
        <v>406.1</v>
      </c>
      <c r="AB104" s="60"/>
      <c r="AC104" s="87">
        <v>2.27</v>
      </c>
      <c r="AD104" s="94">
        <v>0</v>
      </c>
      <c r="AE104" s="87">
        <v>30.36</v>
      </c>
      <c r="AF104" s="87">
        <v>0</v>
      </c>
      <c r="AG104" s="87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6">
        <f t="shared" si="14"/>
        <v>12.133333333333333</v>
      </c>
    </row>
    <row r="105" spans="1:39" x14ac:dyDescent="0.3">
      <c r="A105" s="211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17">
        <v>0.25486111111111109</v>
      </c>
      <c r="J105" s="117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5">
        <f>SUM(Table3[[#This Row],[Inv1_U1]:[Inv1_U4]])</f>
        <v>7719.5</v>
      </c>
      <c r="X105" s="96">
        <f>SUM(Table3[[#This Row],[Inv2_U1]:[Inv2_U4]])</f>
        <v>7406</v>
      </c>
      <c r="Y105" s="97">
        <f>SUM(Table3[[#This Row],[Inv3_U1]:[Inv3_U4]])</f>
        <v>7844.3</v>
      </c>
      <c r="Z105" s="64">
        <v>90521.95</v>
      </c>
      <c r="AA105" s="64">
        <v>406.2</v>
      </c>
      <c r="AB105" s="60"/>
      <c r="AC105" s="87">
        <v>3.44</v>
      </c>
      <c r="AD105" s="94">
        <v>0</v>
      </c>
      <c r="AE105" s="87">
        <v>32.1</v>
      </c>
      <c r="AF105" s="87">
        <v>0</v>
      </c>
      <c r="AG105" s="87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6">
        <f t="shared" si="14"/>
        <v>11.8</v>
      </c>
    </row>
    <row r="106" spans="1:39" x14ac:dyDescent="0.3">
      <c r="A106" s="211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17">
        <v>0.25694444444444442</v>
      </c>
      <c r="J106" s="117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5">
        <f>SUM(Table3[[#This Row],[Inv1_U1]:[Inv1_U4]])</f>
        <v>8319.4</v>
      </c>
      <c r="X106" s="96">
        <f>SUM(Table3[[#This Row],[Inv2_U1]:[Inv2_U4]])</f>
        <v>7968.3000000000011</v>
      </c>
      <c r="Y106" s="97">
        <f>SUM(Table3[[#This Row],[Inv3_U1]:[Inv3_U4]])</f>
        <v>8551.6</v>
      </c>
      <c r="Z106" s="64">
        <v>90546.55</v>
      </c>
      <c r="AA106" s="64">
        <v>406.3</v>
      </c>
      <c r="AB106" s="60"/>
      <c r="AC106" s="87">
        <v>3.83</v>
      </c>
      <c r="AD106" s="94">
        <v>0</v>
      </c>
      <c r="AE106" s="87">
        <v>33</v>
      </c>
      <c r="AF106" s="87">
        <v>0</v>
      </c>
      <c r="AG106" s="87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6">
        <f t="shared" si="14"/>
        <v>12.433333333333334</v>
      </c>
    </row>
    <row r="107" spans="1:39" x14ac:dyDescent="0.3">
      <c r="A107" s="211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17">
        <v>0.25555555555555554</v>
      </c>
      <c r="J107" s="117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5">
        <f>SUM(Table3[[#This Row],[Inv1_U1]:[Inv1_U4]])</f>
        <v>11100.9</v>
      </c>
      <c r="X107" s="96">
        <f>SUM(Table3[[#This Row],[Inv2_U1]:[Inv2_U4]])</f>
        <v>10687.3</v>
      </c>
      <c r="Y107" s="97">
        <f>SUM(Table3[[#This Row],[Inv3_U1]:[Inv3_U4]])</f>
        <v>11313.8</v>
      </c>
      <c r="Z107" s="64">
        <v>90579.35</v>
      </c>
      <c r="AA107" s="64">
        <v>406.4</v>
      </c>
      <c r="AB107" s="60"/>
      <c r="AC107" s="87">
        <v>5.12</v>
      </c>
      <c r="AD107" s="94">
        <v>0</v>
      </c>
      <c r="AE107" s="87">
        <v>36.53</v>
      </c>
      <c r="AF107" s="87">
        <v>0</v>
      </c>
      <c r="AG107" s="87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6">
        <f t="shared" si="14"/>
        <v>12.5</v>
      </c>
    </row>
    <row r="108" spans="1:39" x14ac:dyDescent="0.3">
      <c r="A108" s="211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17">
        <v>0.25208333333333333</v>
      </c>
      <c r="J108" s="117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5">
        <f>SUM(Table3[[#This Row],[Inv1_U1]:[Inv1_U4]])</f>
        <v>11244.3</v>
      </c>
      <c r="X108" s="96">
        <f>SUM(Table3[[#This Row],[Inv2_U1]:[Inv2_U4]])</f>
        <v>10771.4</v>
      </c>
      <c r="Y108" s="97">
        <f>SUM(Table3[[#This Row],[Inv3_U1]:[Inv3_U4]])</f>
        <v>11576</v>
      </c>
      <c r="Z108" s="64">
        <v>90612.65</v>
      </c>
      <c r="AA108" s="64">
        <v>406.5</v>
      </c>
      <c r="AB108" s="60"/>
      <c r="AC108" s="87">
        <v>5.42</v>
      </c>
      <c r="AD108" s="94">
        <v>0</v>
      </c>
      <c r="AE108" s="87">
        <v>36.53</v>
      </c>
      <c r="AF108" s="87">
        <v>0</v>
      </c>
      <c r="AG108" s="87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6">
        <f t="shared" si="14"/>
        <v>12.600000000000001</v>
      </c>
    </row>
    <row r="109" spans="1:39" x14ac:dyDescent="0.3">
      <c r="A109" s="211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17">
        <v>0.25555555555555554</v>
      </c>
      <c r="J109" s="117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5">
        <f>SUM(Table3[[#This Row],[Inv1_U1]:[Inv1_U4]])</f>
        <v>10477.9</v>
      </c>
      <c r="X109" s="96">
        <f>SUM(Table3[[#This Row],[Inv2_U1]:[Inv2_U4]])</f>
        <v>10085.200000000001</v>
      </c>
      <c r="Y109" s="97">
        <f>SUM(Table3[[#This Row],[Inv3_U1]:[Inv3_U4]])</f>
        <v>10844.4</v>
      </c>
      <c r="Z109" s="64">
        <v>90643.75</v>
      </c>
      <c r="AA109" s="64">
        <v>406.6</v>
      </c>
      <c r="AB109" s="60"/>
      <c r="AC109" s="87">
        <v>5.2</v>
      </c>
      <c r="AD109" s="94">
        <v>0</v>
      </c>
      <c r="AE109" s="87">
        <v>37.07</v>
      </c>
      <c r="AF109" s="87">
        <v>0</v>
      </c>
      <c r="AG109" s="87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6">
        <f t="shared" ref="AM109:AM114" si="15">IFERROR((J109-I109)*24,"")</f>
        <v>12.65</v>
      </c>
    </row>
    <row r="110" spans="1:39" x14ac:dyDescent="0.3">
      <c r="A110" s="211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17">
        <v>0.24930555555555556</v>
      </c>
      <c r="J110" s="117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5">
        <f>SUM(Table3[[#This Row],[Inv1_U1]:[Inv1_U4]])</f>
        <v>11103.9</v>
      </c>
      <c r="X110" s="96">
        <f>SUM(Table3[[#This Row],[Inv2_U1]:[Inv2_U4]])</f>
        <v>10648.7</v>
      </c>
      <c r="Y110" s="97">
        <f>SUM(Table3[[#This Row],[Inv3_U1]:[Inv3_U4]])</f>
        <v>11261.099999999999</v>
      </c>
      <c r="Z110" s="64">
        <v>90676.5</v>
      </c>
      <c r="AA110" s="64">
        <v>406.7</v>
      </c>
      <c r="AB110" s="60"/>
      <c r="AC110" s="87">
        <v>5.12</v>
      </c>
      <c r="AD110" s="94">
        <v>0</v>
      </c>
      <c r="AE110" s="87">
        <v>36.71</v>
      </c>
      <c r="AF110" s="87">
        <v>0</v>
      </c>
      <c r="AG110" s="87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6">
        <f t="shared" si="15"/>
        <v>12.85</v>
      </c>
    </row>
    <row r="111" spans="1:39" x14ac:dyDescent="0.3">
      <c r="A111" s="211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17">
        <v>0.25138888888888888</v>
      </c>
      <c r="J111" s="117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5">
        <f>SUM(Table3[[#This Row],[Inv1_U1]:[Inv1_U4]])</f>
        <v>12118.6</v>
      </c>
      <c r="X111" s="96">
        <f>SUM(Table3[[#This Row],[Inv2_U1]:[Inv2_U4]])</f>
        <v>11744.3</v>
      </c>
      <c r="Y111" s="97">
        <f>SUM(Table3[[#This Row],[Inv3_U1]:[Inv3_U4]])</f>
        <v>12780.9</v>
      </c>
      <c r="Z111" s="64">
        <v>90712.8</v>
      </c>
      <c r="AA111" s="64">
        <v>406.8</v>
      </c>
      <c r="AB111" s="60"/>
      <c r="AC111" s="87">
        <v>5.79</v>
      </c>
      <c r="AD111" s="94">
        <v>0</v>
      </c>
      <c r="AE111" s="87">
        <v>37.83</v>
      </c>
      <c r="AF111" s="87">
        <v>0</v>
      </c>
      <c r="AG111" s="87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6">
        <f t="shared" si="15"/>
        <v>12.75</v>
      </c>
    </row>
    <row r="112" spans="1:39" x14ac:dyDescent="0.3">
      <c r="A112" s="211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17">
        <v>0.25416666666666665</v>
      </c>
      <c r="J112" s="117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5">
        <f>SUM(Table3[[#This Row],[Inv1_U1]:[Inv1_U4]])</f>
        <v>9536.9</v>
      </c>
      <c r="X112" s="96">
        <f>SUM(Table3[[#This Row],[Inv2_U1]:[Inv2_U4]])</f>
        <v>9160.1999999999989</v>
      </c>
      <c r="Y112" s="97">
        <f>SUM(Table3[[#This Row],[Inv3_U1]:[Inv3_U4]])</f>
        <v>9815.7999999999993</v>
      </c>
      <c r="Z112" s="64">
        <v>90741.05</v>
      </c>
      <c r="AA112" s="64">
        <v>406.9</v>
      </c>
      <c r="AB112" s="60"/>
      <c r="AC112" s="87">
        <v>4.25</v>
      </c>
      <c r="AD112" s="94">
        <v>0</v>
      </c>
      <c r="AE112" s="87">
        <v>35.26</v>
      </c>
      <c r="AF112" s="87">
        <v>0</v>
      </c>
      <c r="AG112" s="87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6">
        <f t="shared" si="15"/>
        <v>12.75</v>
      </c>
    </row>
    <row r="113" spans="1:39" x14ac:dyDescent="0.3">
      <c r="A113" s="211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17">
        <v>0.25486111111111109</v>
      </c>
      <c r="J113" s="117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5">
        <f>SUM(Table3[[#This Row],[Inv1_U1]:[Inv1_U4]])</f>
        <v>10333.699999999999</v>
      </c>
      <c r="X113" s="96">
        <f>SUM(Table3[[#This Row],[Inv2_U1]:[Inv2_U4]])</f>
        <v>9955.7000000000007</v>
      </c>
      <c r="Y113" s="97">
        <f>SUM(Table3[[#This Row],[Inv3_U1]:[Inv3_U4]])</f>
        <v>10600.300000000001</v>
      </c>
      <c r="Z113" s="64">
        <v>90771.65</v>
      </c>
      <c r="AA113" s="64">
        <v>407</v>
      </c>
      <c r="AB113" s="60"/>
      <c r="AC113" s="87">
        <v>4.9000000000000004</v>
      </c>
      <c r="AD113" s="94">
        <v>0</v>
      </c>
      <c r="AE113" s="87">
        <v>37.42</v>
      </c>
      <c r="AF113" s="87">
        <v>0</v>
      </c>
      <c r="AG113" s="87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6">
        <f t="shared" si="15"/>
        <v>12.600000000000001</v>
      </c>
    </row>
    <row r="114" spans="1:39" x14ac:dyDescent="0.3">
      <c r="A114" s="211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17">
        <v>0.25763888888888886</v>
      </c>
      <c r="J114" s="117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5">
        <f>SUM(Table3[[#This Row],[Inv1_U1]:[Inv1_U4]])</f>
        <v>7034.6</v>
      </c>
      <c r="X114" s="96">
        <f>SUM(Table3[[#This Row],[Inv2_U1]:[Inv2_U4]])</f>
        <v>6781.9</v>
      </c>
      <c r="Y114" s="97">
        <f>SUM(Table3[[#This Row],[Inv3_U1]:[Inv3_U4]])</f>
        <v>6952.5</v>
      </c>
      <c r="Z114" s="64">
        <v>90792.25</v>
      </c>
      <c r="AA114" s="64">
        <v>407.1</v>
      </c>
      <c r="AB114" s="60"/>
      <c r="AC114" s="87">
        <v>4.17</v>
      </c>
      <c r="AD114" s="94">
        <v>0</v>
      </c>
      <c r="AE114" s="87">
        <v>36.18</v>
      </c>
      <c r="AF114" s="87">
        <v>0</v>
      </c>
      <c r="AG114" s="87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6">
        <f t="shared" si="15"/>
        <v>12.350000000000001</v>
      </c>
    </row>
    <row r="115" spans="1:39" x14ac:dyDescent="0.3">
      <c r="A115" s="211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17">
        <v>0.25416666666666665</v>
      </c>
      <c r="J115" s="117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5">
        <f>SUM(Table3[[#This Row],[Inv1_U1]:[Inv1_U4]])</f>
        <v>8408.5</v>
      </c>
      <c r="X115" s="96">
        <f>SUM(Table3[[#This Row],[Inv2_U1]:[Inv2_U4]])</f>
        <v>8174.0999999999995</v>
      </c>
      <c r="Y115" s="97">
        <f>SUM(Table3[[#This Row],[Inv3_U1]:[Inv3_U4]])</f>
        <v>8553.2999999999993</v>
      </c>
      <c r="Z115" s="64">
        <v>90817.15</v>
      </c>
      <c r="AA115" s="64">
        <v>407.2</v>
      </c>
      <c r="AB115" s="60"/>
      <c r="AC115" s="87">
        <v>3.83</v>
      </c>
      <c r="AD115" s="94">
        <v>0</v>
      </c>
      <c r="AE115" s="87">
        <v>35.700000000000003</v>
      </c>
      <c r="AF115" s="87">
        <v>0</v>
      </c>
      <c r="AG115" s="87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6">
        <f>IFERROR((J115-I115)*24,"")</f>
        <v>10.633333333333333</v>
      </c>
    </row>
    <row r="116" spans="1:39" x14ac:dyDescent="0.3">
      <c r="A116" s="211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52">
        <f>'Modelling New'!$AR$1</f>
        <v>8.0208999999999993</v>
      </c>
      <c r="I116" s="117">
        <v>0.26458333333333334</v>
      </c>
      <c r="J116" s="117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5">
        <f>SUM(Table3[[#This Row],[Inv1_U1]:[Inv1_U4]])</f>
        <v>7650.2999999999993</v>
      </c>
      <c r="X116" s="96">
        <f>SUM(Table3[[#This Row],[Inv2_U1]:[Inv2_U4]])</f>
        <v>7670.9</v>
      </c>
      <c r="Y116" s="97">
        <f>SUM(Table3[[#This Row],[Inv3_U1]:[Inv3_U4]])</f>
        <v>8280.2000000000007</v>
      </c>
      <c r="Z116" s="64">
        <v>90840.55</v>
      </c>
      <c r="AA116" s="64">
        <v>407.3</v>
      </c>
      <c r="AB116" s="60"/>
      <c r="AC116" s="87">
        <v>3.72</v>
      </c>
      <c r="AD116" s="94">
        <v>0</v>
      </c>
      <c r="AE116" s="87">
        <v>33.1</v>
      </c>
      <c r="AF116" s="87">
        <v>0</v>
      </c>
      <c r="AG116" s="87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6">
        <f>IFERROR((J116-I116)*24,"")</f>
        <v>12.166666666666666</v>
      </c>
    </row>
    <row r="117" spans="1:39" x14ac:dyDescent="0.3">
      <c r="A117" s="211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52">
        <f>'Modelling New'!$AR$1</f>
        <v>8.0208999999999993</v>
      </c>
      <c r="I117" s="117">
        <v>0.25972222222222224</v>
      </c>
      <c r="J117" s="117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5">
        <f>SUM(Table3[[#This Row],[Inv1_U1]:[Inv1_U4]])</f>
        <v>10292.4</v>
      </c>
      <c r="X117" s="96">
        <f>SUM(Table3[[#This Row],[Inv2_U1]:[Inv2_U4]])</f>
        <v>9829.7999999999993</v>
      </c>
      <c r="Y117" s="97">
        <f>SUM(Table3[[#This Row],[Inv3_U1]:[Inv3_U4]])</f>
        <v>10541.1</v>
      </c>
      <c r="Z117" s="64">
        <v>90870.95</v>
      </c>
      <c r="AA117" s="64">
        <v>407.4</v>
      </c>
      <c r="AB117" s="60"/>
      <c r="AC117" s="87">
        <v>4.76</v>
      </c>
      <c r="AD117" s="94">
        <v>0</v>
      </c>
      <c r="AE117" s="87">
        <v>36.56</v>
      </c>
      <c r="AF117" s="87">
        <v>0</v>
      </c>
      <c r="AG117" s="87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6">
        <f>IFERROR((J117-I117)*24,"")</f>
        <v>12.399999999999999</v>
      </c>
    </row>
    <row r="118" spans="1:39" x14ac:dyDescent="0.3"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95"/>
      <c r="X118" s="96"/>
      <c r="Y118" s="97"/>
      <c r="Z118" s="64"/>
      <c r="AA118" s="64"/>
      <c r="AB118" s="60"/>
      <c r="AC118" s="87"/>
      <c r="AD118" s="94"/>
      <c r="AE118" s="87"/>
      <c r="AF118" s="87"/>
      <c r="AG118" s="87"/>
      <c r="AH118" s="60"/>
      <c r="AI118" s="17"/>
      <c r="AJ118" s="17"/>
      <c r="AK118" s="17"/>
      <c r="AL118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21875" bestFit="1" customWidth="1"/>
    <col min="2" max="2" width="19.77734375" style="2" bestFit="1" customWidth="1"/>
    <col min="3" max="3" width="18.21875" style="2" customWidth="1"/>
    <col min="5" max="5" width="25.5546875" bestFit="1" customWidth="1"/>
    <col min="7" max="7" width="19.77734375" hidden="1" customWidth="1"/>
    <col min="8" max="8" width="0" hidden="1" customWidth="1"/>
    <col min="9" max="9" width="18.21875" style="11" hidden="1" customWidth="1"/>
    <col min="10" max="10" width="14.77734375" style="2" hidden="1" customWidth="1"/>
    <col min="11" max="11" width="19.777343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53"/>
  <sheetViews>
    <sheetView topLeftCell="E2" zoomScaleNormal="100" workbookViewId="0">
      <pane xSplit="4" ySplit="2" topLeftCell="K18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353"/>
    </sheetView>
  </sheetViews>
  <sheetFormatPr defaultRowHeight="14.4" x14ac:dyDescent="0.3"/>
  <cols>
    <col min="1" max="2" width="11.21875" customWidth="1"/>
    <col min="4" max="4" width="14.21875" customWidth="1"/>
    <col min="5" max="5" width="13" customWidth="1"/>
    <col min="6" max="6" width="9" style="2" customWidth="1"/>
    <col min="8" max="8" width="11.77734375" customWidth="1"/>
    <col min="9" max="9" width="10.21875" style="2" bestFit="1" customWidth="1"/>
    <col min="10" max="21" width="10.21875" style="2" customWidth="1"/>
    <col min="22" max="24" width="10.21875" style="2" bestFit="1" customWidth="1"/>
    <col min="25" max="26" width="8.7773437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18">
        <f>YEAR(Table12[[#This Row],[Date]])</f>
        <v>2025</v>
      </c>
      <c r="D4" s="55" t="s">
        <v>329</v>
      </c>
      <c r="E4" s="55" t="s">
        <v>329</v>
      </c>
      <c r="F4" s="119" t="str">
        <f>TEXT(Table12[[#This Row],[Date]],"mmm-yy")</f>
        <v>Mar-25</v>
      </c>
      <c r="G4" s="118">
        <f t="shared" ref="G4:G34" si="0">DAY(EOMONTH(F4,0))</f>
        <v>31</v>
      </c>
      <c r="H4" s="120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18">
        <f>YEAR(Table12[[#This Row],[Date]])</f>
        <v>2025</v>
      </c>
      <c r="D5" s="55" t="s">
        <v>329</v>
      </c>
      <c r="E5" s="55" t="s">
        <v>329</v>
      </c>
      <c r="F5" s="119" t="str">
        <f>TEXT(Table12[[#This Row],[Date]],"mmm-yy")</f>
        <v>Mar-25</v>
      </c>
      <c r="G5" s="118">
        <f t="shared" si="0"/>
        <v>31</v>
      </c>
      <c r="H5" s="120">
        <f t="shared" ref="H5:H68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18">
        <f>YEAR(Table12[[#This Row],[Date]])</f>
        <v>2025</v>
      </c>
      <c r="D6" s="55" t="s">
        <v>329</v>
      </c>
      <c r="E6" s="55" t="s">
        <v>329</v>
      </c>
      <c r="F6" s="119" t="str">
        <f>TEXT(Table12[[#This Row],[Date]],"mmm-yy")</f>
        <v>Mar-25</v>
      </c>
      <c r="G6" s="118">
        <f t="shared" si="0"/>
        <v>31</v>
      </c>
      <c r="H6" s="120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18">
        <f>YEAR(Table12[[#This Row],[Date]])</f>
        <v>2025</v>
      </c>
      <c r="D7" s="55" t="s">
        <v>329</v>
      </c>
      <c r="E7" s="55" t="s">
        <v>329</v>
      </c>
      <c r="F7" s="119" t="str">
        <f>TEXT(Table12[[#This Row],[Date]],"mmm-yy")</f>
        <v>Apr-25</v>
      </c>
      <c r="G7" s="118">
        <f t="shared" si="0"/>
        <v>30</v>
      </c>
      <c r="H7" s="120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18">
        <f>YEAR(Table12[[#This Row],[Date]])</f>
        <v>2025</v>
      </c>
      <c r="D8" s="55" t="s">
        <v>329</v>
      </c>
      <c r="E8" s="55" t="s">
        <v>329</v>
      </c>
      <c r="F8" s="119" t="str">
        <f>TEXT(Table12[[#This Row],[Date]],"mmm-yy")</f>
        <v>Apr-25</v>
      </c>
      <c r="G8" s="118">
        <f t="shared" si="0"/>
        <v>30</v>
      </c>
      <c r="H8" s="120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18">
        <f>YEAR(Table12[[#This Row],[Date]])</f>
        <v>2025</v>
      </c>
      <c r="D9" s="55" t="s">
        <v>329</v>
      </c>
      <c r="E9" s="55" t="s">
        <v>329</v>
      </c>
      <c r="F9" s="119" t="str">
        <f>TEXT(Table12[[#This Row],[Date]],"mmm-yy")</f>
        <v>Apr-25</v>
      </c>
      <c r="G9" s="118">
        <f t="shared" si="0"/>
        <v>30</v>
      </c>
      <c r="H9" s="120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18">
        <f>YEAR(Table12[[#This Row],[Date]])</f>
        <v>2025</v>
      </c>
      <c r="D10" s="55" t="s">
        <v>329</v>
      </c>
      <c r="E10" s="55" t="s">
        <v>329</v>
      </c>
      <c r="F10" s="119" t="str">
        <f>TEXT(Table12[[#This Row],[Date]],"mmm-yy")</f>
        <v>Apr-25</v>
      </c>
      <c r="G10" s="118">
        <f t="shared" si="0"/>
        <v>30</v>
      </c>
      <c r="H10" s="120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18">
        <f>YEAR(Table12[[#This Row],[Date]])</f>
        <v>2025</v>
      </c>
      <c r="D11" s="55" t="s">
        <v>329</v>
      </c>
      <c r="E11" s="55" t="s">
        <v>329</v>
      </c>
      <c r="F11" s="119" t="str">
        <f>TEXT(Table12[[#This Row],[Date]],"mmm-yy")</f>
        <v>Apr-25</v>
      </c>
      <c r="G11" s="118">
        <f t="shared" si="0"/>
        <v>30</v>
      </c>
      <c r="H11" s="120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18">
        <f>YEAR(Table12[[#This Row],[Date]])</f>
        <v>2025</v>
      </c>
      <c r="D12" s="55" t="s">
        <v>329</v>
      </c>
      <c r="E12" s="55" t="s">
        <v>329</v>
      </c>
      <c r="F12" s="119" t="str">
        <f>TEXT(Table12[[#This Row],[Date]],"mmm-yy")</f>
        <v>Apr-25</v>
      </c>
      <c r="G12" s="118">
        <f t="shared" si="0"/>
        <v>30</v>
      </c>
      <c r="H12" s="120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18">
        <f>YEAR(Table12[[#This Row],[Date]])</f>
        <v>2025</v>
      </c>
      <c r="D13" s="55" t="s">
        <v>329</v>
      </c>
      <c r="E13" s="55" t="s">
        <v>329</v>
      </c>
      <c r="F13" s="119" t="str">
        <f>TEXT(Table12[[#This Row],[Date]],"mmm-yy")</f>
        <v>Apr-25</v>
      </c>
      <c r="G13" s="118">
        <f t="shared" si="0"/>
        <v>30</v>
      </c>
      <c r="H13" s="120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18">
        <f>YEAR(Table12[[#This Row],[Date]])</f>
        <v>2025</v>
      </c>
      <c r="D14" s="55" t="s">
        <v>329</v>
      </c>
      <c r="E14" s="55" t="s">
        <v>329</v>
      </c>
      <c r="F14" s="119" t="str">
        <f>TEXT(Table12[[#This Row],[Date]],"mmm-yy")</f>
        <v>Apr-25</v>
      </c>
      <c r="G14" s="118">
        <f t="shared" si="0"/>
        <v>30</v>
      </c>
      <c r="H14" s="120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18">
        <f>YEAR(Table12[[#This Row],[Date]])</f>
        <v>2025</v>
      </c>
      <c r="D15" s="55" t="s">
        <v>329</v>
      </c>
      <c r="E15" s="55" t="s">
        <v>329</v>
      </c>
      <c r="F15" s="119" t="str">
        <f>TEXT(Table12[[#This Row],[Date]],"mmm-yy")</f>
        <v>Apr-25</v>
      </c>
      <c r="G15" s="118">
        <f t="shared" si="0"/>
        <v>30</v>
      </c>
      <c r="H15" s="120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18">
        <f>YEAR(Table12[[#This Row],[Date]])</f>
        <v>2025</v>
      </c>
      <c r="D16" s="55" t="s">
        <v>329</v>
      </c>
      <c r="E16" s="55" t="s">
        <v>329</v>
      </c>
      <c r="F16" s="119" t="str">
        <f>TEXT(Table12[[#This Row],[Date]],"mmm-yy")</f>
        <v>Apr-25</v>
      </c>
      <c r="G16" s="118">
        <f t="shared" si="0"/>
        <v>30</v>
      </c>
      <c r="H16" s="120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18">
        <f>YEAR(Table12[[#This Row],[Date]])</f>
        <v>2025</v>
      </c>
      <c r="D17" s="55" t="s">
        <v>329</v>
      </c>
      <c r="E17" s="55" t="s">
        <v>329</v>
      </c>
      <c r="F17" s="119" t="str">
        <f>TEXT(Table12[[#This Row],[Date]],"mmm-yy")</f>
        <v>Apr-25</v>
      </c>
      <c r="G17" s="118">
        <f t="shared" si="0"/>
        <v>30</v>
      </c>
      <c r="H17" s="120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18">
        <f>YEAR(Table12[[#This Row],[Date]])</f>
        <v>2025</v>
      </c>
      <c r="D18" s="55" t="s">
        <v>329</v>
      </c>
      <c r="E18" s="55" t="s">
        <v>329</v>
      </c>
      <c r="F18" s="119" t="str">
        <f>TEXT(Table12[[#This Row],[Date]],"mmm-yy")</f>
        <v>Apr-25</v>
      </c>
      <c r="G18" s="118">
        <f t="shared" si="0"/>
        <v>30</v>
      </c>
      <c r="H18" s="120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18">
        <f>YEAR(Table12[[#This Row],[Date]])</f>
        <v>2025</v>
      </c>
      <c r="D19" s="55" t="s">
        <v>329</v>
      </c>
      <c r="E19" s="55" t="s">
        <v>329</v>
      </c>
      <c r="F19" s="119" t="str">
        <f>TEXT(Table12[[#This Row],[Date]],"mmm-yy")</f>
        <v>Apr-25</v>
      </c>
      <c r="G19" s="118">
        <f t="shared" si="0"/>
        <v>30</v>
      </c>
      <c r="H19" s="120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18">
        <f>YEAR(Table12[[#This Row],[Date]])</f>
        <v>2025</v>
      </c>
      <c r="D20" s="55" t="s">
        <v>329</v>
      </c>
      <c r="E20" s="55" t="s">
        <v>329</v>
      </c>
      <c r="F20" s="119" t="str">
        <f>TEXT(Table12[[#This Row],[Date]],"mmm-yy")</f>
        <v>Apr-25</v>
      </c>
      <c r="G20" s="118">
        <f t="shared" si="0"/>
        <v>30</v>
      </c>
      <c r="H20" s="120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18">
        <f>YEAR(Table12[[#This Row],[Date]])</f>
        <v>2025</v>
      </c>
      <c r="D21" s="55" t="s">
        <v>329</v>
      </c>
      <c r="E21" s="55" t="s">
        <v>329</v>
      </c>
      <c r="F21" s="119" t="str">
        <f>TEXT(Table12[[#This Row],[Date]],"mmm-yy")</f>
        <v>Apr-25</v>
      </c>
      <c r="G21" s="118">
        <f t="shared" si="0"/>
        <v>30</v>
      </c>
      <c r="H21" s="120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18">
        <f>YEAR(Table12[[#This Row],[Date]])</f>
        <v>2025</v>
      </c>
      <c r="D22" s="55" t="s">
        <v>329</v>
      </c>
      <c r="E22" s="55" t="s">
        <v>329</v>
      </c>
      <c r="F22" s="119" t="str">
        <f>TEXT(Table12[[#This Row],[Date]],"mmm-yy")</f>
        <v>Apr-25</v>
      </c>
      <c r="G22" s="118">
        <f t="shared" si="0"/>
        <v>30</v>
      </c>
      <c r="H22" s="120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18">
        <f>YEAR(Table12[[#This Row],[Date]])</f>
        <v>2025</v>
      </c>
      <c r="D23" s="55" t="s">
        <v>329</v>
      </c>
      <c r="E23" s="55" t="s">
        <v>329</v>
      </c>
      <c r="F23" s="119" t="str">
        <f>TEXT(Table12[[#This Row],[Date]],"mmm-yy")</f>
        <v>Apr-25</v>
      </c>
      <c r="G23" s="118">
        <f t="shared" si="0"/>
        <v>30</v>
      </c>
      <c r="H23" s="120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18">
        <f>YEAR(Table12[[#This Row],[Date]])</f>
        <v>2025</v>
      </c>
      <c r="D24" s="55" t="s">
        <v>329</v>
      </c>
      <c r="E24" s="55" t="s">
        <v>329</v>
      </c>
      <c r="F24" s="119" t="str">
        <f>TEXT(Table12[[#This Row],[Date]],"mmm-yy")</f>
        <v>Apr-25</v>
      </c>
      <c r="G24" s="118">
        <f t="shared" si="0"/>
        <v>30</v>
      </c>
      <c r="H24" s="120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18">
        <f>YEAR(Table12[[#This Row],[Date]])</f>
        <v>2025</v>
      </c>
      <c r="D25" s="55" t="s">
        <v>329</v>
      </c>
      <c r="E25" s="55" t="s">
        <v>329</v>
      </c>
      <c r="F25" s="119" t="str">
        <f>TEXT(Table12[[#This Row],[Date]],"mmm-yy")</f>
        <v>Apr-25</v>
      </c>
      <c r="G25" s="118">
        <f t="shared" si="0"/>
        <v>30</v>
      </c>
      <c r="H25" s="120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18">
        <f>YEAR(Table12[[#This Row],[Date]])</f>
        <v>2025</v>
      </c>
      <c r="D26" s="55" t="s">
        <v>329</v>
      </c>
      <c r="E26" s="55" t="s">
        <v>329</v>
      </c>
      <c r="F26" s="119" t="str">
        <f>TEXT(Table12[[#This Row],[Date]],"mmm-yy")</f>
        <v>Apr-25</v>
      </c>
      <c r="G26" s="118">
        <f t="shared" si="0"/>
        <v>30</v>
      </c>
      <c r="H26" s="120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18">
        <f>YEAR(Table12[[#This Row],[Date]])</f>
        <v>2025</v>
      </c>
      <c r="D27" s="55" t="s">
        <v>329</v>
      </c>
      <c r="E27" s="55" t="s">
        <v>329</v>
      </c>
      <c r="F27" s="119" t="str">
        <f>TEXT(Table12[[#This Row],[Date]],"mmm-yy")</f>
        <v>Apr-25</v>
      </c>
      <c r="G27" s="118">
        <f t="shared" si="0"/>
        <v>30</v>
      </c>
      <c r="H27" s="120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18">
        <f>YEAR(Table12[[#This Row],[Date]])</f>
        <v>2025</v>
      </c>
      <c r="D28" s="55" t="s">
        <v>329</v>
      </c>
      <c r="E28" s="55" t="s">
        <v>329</v>
      </c>
      <c r="F28" s="119" t="str">
        <f>TEXT(Table12[[#This Row],[Date]],"mmm-yy")</f>
        <v>Apr-25</v>
      </c>
      <c r="G28" s="118">
        <f t="shared" si="0"/>
        <v>30</v>
      </c>
      <c r="H28" s="120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18">
        <f>YEAR(Table12[[#This Row],[Date]])</f>
        <v>2025</v>
      </c>
      <c r="D29" s="55" t="s">
        <v>329</v>
      </c>
      <c r="E29" s="55" t="s">
        <v>329</v>
      </c>
      <c r="F29" s="119" t="str">
        <f>TEXT(Table12[[#This Row],[Date]],"mmm-yy")</f>
        <v>Apr-25</v>
      </c>
      <c r="G29" s="118">
        <f t="shared" si="0"/>
        <v>30</v>
      </c>
      <c r="H29" s="120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18">
        <f>YEAR(Table12[[#This Row],[Date]])</f>
        <v>2025</v>
      </c>
      <c r="D30" s="55" t="s">
        <v>329</v>
      </c>
      <c r="E30" s="55" t="s">
        <v>329</v>
      </c>
      <c r="F30" s="119" t="str">
        <f>TEXT(Table12[[#This Row],[Date]],"mmm-yy")</f>
        <v>Apr-25</v>
      </c>
      <c r="G30" s="118">
        <f t="shared" si="0"/>
        <v>30</v>
      </c>
      <c r="H30" s="120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18">
        <f>YEAR(Table12[[#This Row],[Date]])</f>
        <v>2025</v>
      </c>
      <c r="D31" s="55" t="s">
        <v>329</v>
      </c>
      <c r="E31" s="55" t="s">
        <v>329</v>
      </c>
      <c r="F31" s="119" t="str">
        <f>TEXT(Table12[[#This Row],[Date]],"mmm-yy")</f>
        <v>Apr-25</v>
      </c>
      <c r="G31" s="118">
        <f t="shared" si="0"/>
        <v>30</v>
      </c>
      <c r="H31" s="120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18">
        <f>YEAR(Table12[[#This Row],[Date]])</f>
        <v>2025</v>
      </c>
      <c r="D32" s="55" t="s">
        <v>329</v>
      </c>
      <c r="E32" s="55" t="s">
        <v>329</v>
      </c>
      <c r="F32" s="119" t="str">
        <f>TEXT(Table12[[#This Row],[Date]],"mmm-yy")</f>
        <v>Apr-25</v>
      </c>
      <c r="G32" s="118">
        <f t="shared" si="0"/>
        <v>30</v>
      </c>
      <c r="H32" s="120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18">
        <f>YEAR(Table12[[#This Row],[Date]])</f>
        <v>2025</v>
      </c>
      <c r="D33" s="55" t="s">
        <v>329</v>
      </c>
      <c r="E33" s="55" t="s">
        <v>329</v>
      </c>
      <c r="F33" s="119" t="str">
        <f>TEXT(Table12[[#This Row],[Date]],"mmm-yy")</f>
        <v>Apr-25</v>
      </c>
      <c r="G33" s="118">
        <f t="shared" si="0"/>
        <v>30</v>
      </c>
      <c r="H33" s="120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18">
        <f>YEAR(Table12[[#This Row],[Date]])</f>
        <v>2025</v>
      </c>
      <c r="D34" s="55" t="s">
        <v>329</v>
      </c>
      <c r="E34" s="55" t="s">
        <v>329</v>
      </c>
      <c r="F34" s="119" t="str">
        <f>TEXT(Table12[[#This Row],[Date]],"mmm-yy")</f>
        <v>Apr-25</v>
      </c>
      <c r="G34" s="118">
        <f t="shared" si="0"/>
        <v>30</v>
      </c>
      <c r="H34" s="120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18">
        <f>YEAR(Table12[[#This Row],[Date]])</f>
        <v>2025</v>
      </c>
      <c r="D35" s="55" t="s">
        <v>329</v>
      </c>
      <c r="E35" s="55" t="s">
        <v>329</v>
      </c>
      <c r="F35" s="119" t="str">
        <f>TEXT(Table12[[#This Row],[Date]],"mmm-yy")</f>
        <v>Apr-25</v>
      </c>
      <c r="G35" s="118">
        <f t="shared" ref="G35" si="4">DAY(EOMONTH(F35,0))</f>
        <v>30</v>
      </c>
      <c r="H35" s="120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36"/>
      <c r="B36" s="236"/>
      <c r="C36" s="236">
        <f>YEAR(Table12[[#This Row],[Date]])</f>
        <v>2025</v>
      </c>
      <c r="D36" s="236"/>
      <c r="E36" s="236"/>
      <c r="F36" s="237" t="str">
        <f>TEXT(Table12[[#This Row],[Date]],"mmm-yy")</f>
        <v>Apr-25</v>
      </c>
      <c r="G36" s="236">
        <f t="shared" ref="G36:G99" si="5">DAY(EOMONTH(F36,0))</f>
        <v>30</v>
      </c>
      <c r="H36" s="120">
        <f t="shared" si="3"/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6">IFERROR(AVERAGEIF(V36:X36,"&gt;"&amp;0,V36:X36),"")</f>
        <v>4.9981371636650422</v>
      </c>
      <c r="Z36" s="1">
        <f t="shared" ref="Z36:Z99" si="7">MAXA(V36:X36)</f>
        <v>5.0394731960675196</v>
      </c>
    </row>
    <row r="37" spans="1:26" x14ac:dyDescent="0.3">
      <c r="A37" s="236"/>
      <c r="B37" s="236"/>
      <c r="C37" s="236">
        <f>YEAR(Table12[[#This Row],[Date]])</f>
        <v>2025</v>
      </c>
      <c r="D37" s="236"/>
      <c r="E37" s="236"/>
      <c r="F37" s="237" t="str">
        <f>TEXT(Table12[[#This Row],[Date]],"mmm-yy")</f>
        <v>May-25</v>
      </c>
      <c r="G37" s="236">
        <f t="shared" si="5"/>
        <v>31</v>
      </c>
      <c r="H37" s="120">
        <f t="shared" si="3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6"/>
        <v>4.7125731500379029</v>
      </c>
      <c r="Z37" s="1">
        <f t="shared" si="7"/>
        <v>4.7515488777592285</v>
      </c>
    </row>
    <row r="38" spans="1:26" x14ac:dyDescent="0.3">
      <c r="A38" s="236"/>
      <c r="B38" s="236"/>
      <c r="C38" s="236">
        <f>YEAR(Table12[[#This Row],[Date]])</f>
        <v>2025</v>
      </c>
      <c r="D38" s="236"/>
      <c r="E38" s="236"/>
      <c r="F38" s="237" t="str">
        <f>TEXT(Table12[[#This Row],[Date]],"mmm-yy")</f>
        <v>May-25</v>
      </c>
      <c r="G38" s="236">
        <f t="shared" si="5"/>
        <v>31</v>
      </c>
      <c r="H38" s="120">
        <f t="shared" si="3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6"/>
        <v>3.9079370368161488</v>
      </c>
      <c r="Z38" s="1">
        <f t="shared" si="7"/>
        <v>3.9331107401224266</v>
      </c>
    </row>
    <row r="39" spans="1:26" x14ac:dyDescent="0.3">
      <c r="A39" s="236"/>
      <c r="B39" s="236"/>
      <c r="C39" s="236">
        <f>YEAR(Table12[[#This Row],[Date]])</f>
        <v>2025</v>
      </c>
      <c r="D39" s="236"/>
      <c r="E39" s="236"/>
      <c r="F39" s="237" t="str">
        <f>TEXT(Table12[[#This Row],[Date]],"mmm-yy")</f>
        <v>May-25</v>
      </c>
      <c r="G39" s="236">
        <f t="shared" si="5"/>
        <v>31</v>
      </c>
      <c r="H39" s="120">
        <f t="shared" si="3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6"/>
        <v>4.8211105823929197</v>
      </c>
      <c r="Z39" s="1">
        <f t="shared" si="7"/>
        <v>4.8644036356891114</v>
      </c>
    </row>
    <row r="40" spans="1:26" x14ac:dyDescent="0.3">
      <c r="A40" s="236"/>
      <c r="B40" s="236"/>
      <c r="C40" s="236">
        <f>YEAR(Table12[[#This Row],[Date]])</f>
        <v>2025</v>
      </c>
      <c r="D40" s="236"/>
      <c r="E40" s="236"/>
      <c r="F40" s="237" t="str">
        <f>TEXT(Table12[[#This Row],[Date]],"mmm-yy")</f>
        <v>May-25</v>
      </c>
      <c r="G40" s="236">
        <f t="shared" si="5"/>
        <v>31</v>
      </c>
      <c r="H40" s="120">
        <f t="shared" si="3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6"/>
        <v>2.5900761346055297</v>
      </c>
      <c r="Z40" s="1">
        <f t="shared" si="7"/>
        <v>2.6327953997403082</v>
      </c>
    </row>
    <row r="41" spans="1:26" x14ac:dyDescent="0.3">
      <c r="A41" s="236"/>
      <c r="B41" s="236"/>
      <c r="C41" s="236">
        <f>YEAR(Table12[[#This Row],[Date]])</f>
        <v>2025</v>
      </c>
      <c r="D41" s="236"/>
      <c r="E41" s="236"/>
      <c r="F41" s="237" t="str">
        <f>TEXT(Table12[[#This Row],[Date]],"mmm-yy")</f>
        <v>May-25</v>
      </c>
      <c r="G41" s="236">
        <f t="shared" si="5"/>
        <v>31</v>
      </c>
      <c r="H41" s="120">
        <f t="shared" si="3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6"/>
        <v>5.0941721665643733</v>
      </c>
      <c r="Z41" s="1">
        <f t="shared" si="7"/>
        <v>5.1555926544240398</v>
      </c>
    </row>
    <row r="42" spans="1:26" x14ac:dyDescent="0.3">
      <c r="A42" s="236"/>
      <c r="B42" s="236"/>
      <c r="C42" s="236">
        <f>YEAR(Table12[[#This Row],[Date]])</f>
        <v>2025</v>
      </c>
      <c r="D42" s="236"/>
      <c r="E42" s="236"/>
      <c r="F42" s="237" t="str">
        <f>TEXT(Table12[[#This Row],[Date]],"mmm-yy")</f>
        <v>May-25</v>
      </c>
      <c r="G42" s="236">
        <f t="shared" si="5"/>
        <v>31</v>
      </c>
      <c r="H42" s="120">
        <f t="shared" si="3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6"/>
        <v>4.8599294427611337</v>
      </c>
      <c r="Z42" s="1">
        <f t="shared" si="7"/>
        <v>4.9174550176219629</v>
      </c>
    </row>
    <row r="43" spans="1:26" x14ac:dyDescent="0.3">
      <c r="A43" s="236"/>
      <c r="B43" s="236"/>
      <c r="C43" s="236">
        <f>YEAR(Table12[[#This Row],[Date]])</f>
        <v>2025</v>
      </c>
      <c r="D43" s="236"/>
      <c r="E43" s="236"/>
      <c r="F43" s="237" t="str">
        <f>TEXT(Table12[[#This Row],[Date]],"mmm-yy")</f>
        <v>May-25</v>
      </c>
      <c r="G43" s="236">
        <f t="shared" si="5"/>
        <v>31</v>
      </c>
      <c r="H43" s="120">
        <f t="shared" si="3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6"/>
        <v>4.9180452192065562</v>
      </c>
      <c r="Z43" s="1">
        <f t="shared" si="7"/>
        <v>4.980856983861992</v>
      </c>
    </row>
    <row r="44" spans="1:26" x14ac:dyDescent="0.3">
      <c r="A44" s="236"/>
      <c r="B44" s="236"/>
      <c r="C44" s="236">
        <f>YEAR(Table12[[#This Row],[Date]])</f>
        <v>2025</v>
      </c>
      <c r="D44" s="236"/>
      <c r="E44" s="236"/>
      <c r="F44" s="237" t="str">
        <f>TEXT(Table12[[#This Row],[Date]],"mmm-yy")</f>
        <v>May-25</v>
      </c>
      <c r="G44" s="236">
        <f t="shared" si="5"/>
        <v>31</v>
      </c>
      <c r="H44" s="120">
        <f t="shared" si="3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6"/>
        <v>4.9081660698323386</v>
      </c>
      <c r="Z44" s="1">
        <f t="shared" si="7"/>
        <v>4.9843442774995363</v>
      </c>
    </row>
    <row r="45" spans="1:26" x14ac:dyDescent="0.3">
      <c r="A45" s="236"/>
      <c r="B45" s="236"/>
      <c r="C45" s="236">
        <f>YEAR(Table12[[#This Row],[Date]])</f>
        <v>2025</v>
      </c>
      <c r="D45" s="236"/>
      <c r="E45" s="236"/>
      <c r="F45" s="237" t="str">
        <f>TEXT(Table12[[#This Row],[Date]],"mmm-yy")</f>
        <v>May-25</v>
      </c>
      <c r="G45" s="236">
        <f t="shared" si="5"/>
        <v>31</v>
      </c>
      <c r="H45" s="120">
        <f t="shared" si="3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6"/>
        <v>4.8679421315727085</v>
      </c>
      <c r="Z45" s="1">
        <f t="shared" si="7"/>
        <v>4.9164162493043957</v>
      </c>
    </row>
    <row r="46" spans="1:26" x14ac:dyDescent="0.3">
      <c r="A46" s="236"/>
      <c r="B46" s="236"/>
      <c r="C46" s="236">
        <f>YEAR(Table12[[#This Row],[Date]])</f>
        <v>2025</v>
      </c>
      <c r="D46" s="236"/>
      <c r="E46" s="236"/>
      <c r="F46" s="237" t="str">
        <f>TEXT(Table12[[#This Row],[Date]],"mmm-yy")</f>
        <v>May-25</v>
      </c>
      <c r="G46" s="236">
        <f t="shared" si="5"/>
        <v>31</v>
      </c>
      <c r="H46" s="120">
        <f t="shared" si="3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6"/>
        <v>4.1270956449603178</v>
      </c>
      <c r="Z46" s="1">
        <f t="shared" si="7"/>
        <v>4.1555926544240398</v>
      </c>
    </row>
    <row r="47" spans="1:26" x14ac:dyDescent="0.3">
      <c r="A47" s="236"/>
      <c r="B47" s="236"/>
      <c r="C47" s="236">
        <f>YEAR(Table12[[#This Row],[Date]])</f>
        <v>2025</v>
      </c>
      <c r="D47" s="236"/>
      <c r="E47" s="236"/>
      <c r="F47" s="237" t="str">
        <f>TEXT(Table12[[#This Row],[Date]],"mmm-yy")</f>
        <v>May-25</v>
      </c>
      <c r="G47" s="236">
        <f t="shared" si="5"/>
        <v>31</v>
      </c>
      <c r="H47" s="120">
        <f t="shared" si="3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6"/>
        <v>4.2570369349327475</v>
      </c>
      <c r="Z47" s="1">
        <f t="shared" si="7"/>
        <v>4.3390484673049805</v>
      </c>
    </row>
    <row r="48" spans="1:26" x14ac:dyDescent="0.3">
      <c r="A48" s="236"/>
      <c r="B48" s="236"/>
      <c r="C48" s="236">
        <f>YEAR(Table12[[#This Row],[Date]])</f>
        <v>2025</v>
      </c>
      <c r="D48" s="236"/>
      <c r="E48" s="236"/>
      <c r="F48" s="237" t="str">
        <f>TEXT(Table12[[#This Row],[Date]],"mmm-yy")</f>
        <v>May-25</v>
      </c>
      <c r="G48" s="236">
        <f t="shared" si="5"/>
        <v>31</v>
      </c>
      <c r="H48" s="120">
        <f t="shared" si="3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6"/>
        <v>4.9846461326879989</v>
      </c>
      <c r="Z48" s="1">
        <f t="shared" si="7"/>
        <v>5.0234835837506955</v>
      </c>
    </row>
    <row r="49" spans="1:26" x14ac:dyDescent="0.3">
      <c r="A49" s="236"/>
      <c r="B49" s="236"/>
      <c r="C49" s="236">
        <f>YEAR(Table12[[#This Row],[Date]])</f>
        <v>2025</v>
      </c>
      <c r="D49" s="236"/>
      <c r="E49" s="236"/>
      <c r="F49" s="237" t="str">
        <f>TEXT(Table12[[#This Row],[Date]],"mmm-yy")</f>
        <v>May-25</v>
      </c>
      <c r="G49" s="236">
        <f t="shared" si="5"/>
        <v>31</v>
      </c>
      <c r="H49" s="120">
        <f t="shared" si="3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6"/>
        <v>4.3548092522869792</v>
      </c>
      <c r="Z49" s="1">
        <f t="shared" si="7"/>
        <v>4.3907623817473569</v>
      </c>
    </row>
    <row r="50" spans="1:26" x14ac:dyDescent="0.3">
      <c r="A50" s="236"/>
      <c r="B50" s="236"/>
      <c r="C50" s="236">
        <f>YEAR(Table12[[#This Row],[Date]])</f>
        <v>2025</v>
      </c>
      <c r="D50" s="236"/>
      <c r="E50" s="236"/>
      <c r="F50" s="237" t="str">
        <f>TEXT(Table12[[#This Row],[Date]],"mmm-yy")</f>
        <v>May-25</v>
      </c>
      <c r="G50" s="236">
        <f t="shared" si="5"/>
        <v>31</v>
      </c>
      <c r="H50" s="120">
        <f t="shared" si="3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6"/>
        <v>4.2652381766652452</v>
      </c>
      <c r="Z50" s="1">
        <f t="shared" si="7"/>
        <v>4.3392691522908553</v>
      </c>
    </row>
    <row r="51" spans="1:26" x14ac:dyDescent="0.3">
      <c r="A51" s="236"/>
      <c r="B51" s="236"/>
      <c r="C51" s="236">
        <f>YEAR(Table12[[#This Row],[Date]])</f>
        <v>2025</v>
      </c>
      <c r="D51" s="236"/>
      <c r="E51" s="236"/>
      <c r="F51" s="237" t="str">
        <f>TEXT(Table12[[#This Row],[Date]],"mmm-yy")</f>
        <v>May-25</v>
      </c>
      <c r="G51" s="236">
        <f t="shared" si="5"/>
        <v>31</v>
      </c>
      <c r="H51" s="120">
        <f t="shared" si="3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6"/>
        <v>2.3707139235744221</v>
      </c>
      <c r="Z51" s="1">
        <f t="shared" si="7"/>
        <v>2.5621984710161061</v>
      </c>
    </row>
    <row r="52" spans="1:26" x14ac:dyDescent="0.3">
      <c r="A52" s="236"/>
      <c r="B52" s="236"/>
      <c r="C52" s="236">
        <f>YEAR(Table12[[#This Row],[Date]])</f>
        <v>2025</v>
      </c>
      <c r="D52" s="236"/>
      <c r="E52" s="236"/>
      <c r="F52" s="237" t="str">
        <f>TEXT(Table12[[#This Row],[Date]],"mmm-yy")</f>
        <v>May-25</v>
      </c>
      <c r="G52" s="236">
        <f t="shared" si="5"/>
        <v>31</v>
      </c>
      <c r="H52" s="120">
        <f t="shared" si="3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6"/>
        <v>3.6983003077029011</v>
      </c>
      <c r="Z52" s="1">
        <f t="shared" si="7"/>
        <v>4.1481728807271381</v>
      </c>
    </row>
    <row r="53" spans="1:26" x14ac:dyDescent="0.3">
      <c r="A53" s="236"/>
      <c r="B53" s="236"/>
      <c r="C53" s="236">
        <f>YEAR(Table12[[#This Row],[Date]])</f>
        <v>2025</v>
      </c>
      <c r="D53" s="236"/>
      <c r="E53" s="236"/>
      <c r="F53" s="237" t="str">
        <f>TEXT(Table12[[#This Row],[Date]],"mmm-yy")</f>
        <v>May-25</v>
      </c>
      <c r="G53" s="236">
        <f t="shared" si="5"/>
        <v>31</v>
      </c>
      <c r="H53" s="120">
        <f t="shared" si="3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6"/>
        <v>4.0156997408370039</v>
      </c>
      <c r="Z53" s="1">
        <f t="shared" si="7"/>
        <v>4.0478575403450199</v>
      </c>
    </row>
    <row r="54" spans="1:26" x14ac:dyDescent="0.3">
      <c r="A54" s="236"/>
      <c r="B54" s="236"/>
      <c r="C54" s="236">
        <f>YEAR(Table12[[#This Row],[Date]])</f>
        <v>2025</v>
      </c>
      <c r="D54" s="236"/>
      <c r="E54" s="236"/>
      <c r="F54" s="237" t="str">
        <f>TEXT(Table12[[#This Row],[Date]],"mmm-yy")</f>
        <v>May-25</v>
      </c>
      <c r="G54" s="236">
        <f t="shared" si="5"/>
        <v>31</v>
      </c>
      <c r="H54" s="120">
        <f t="shared" si="3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6"/>
        <v>2.7285946276408048</v>
      </c>
      <c r="Z54" s="1">
        <f t="shared" si="7"/>
        <v>2.7621591541457984</v>
      </c>
    </row>
    <row r="55" spans="1:26" x14ac:dyDescent="0.3">
      <c r="A55" s="236"/>
      <c r="B55" s="236"/>
      <c r="C55" s="236">
        <f>YEAR(Table12[[#This Row],[Date]])</f>
        <v>2025</v>
      </c>
      <c r="D55" s="236"/>
      <c r="E55" s="236"/>
      <c r="F55" s="237" t="str">
        <f>TEXT(Table12[[#This Row],[Date]],"mmm-yy")</f>
        <v>May-25</v>
      </c>
      <c r="G55" s="236">
        <f t="shared" si="5"/>
        <v>31</v>
      </c>
      <c r="H55" s="120">
        <f t="shared" si="3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6"/>
        <v>3.5498591585408903</v>
      </c>
      <c r="Z55" s="1">
        <f t="shared" si="7"/>
        <v>3.5917269523279538</v>
      </c>
    </row>
    <row r="56" spans="1:26" x14ac:dyDescent="0.3">
      <c r="A56" s="236"/>
      <c r="B56" s="236"/>
      <c r="C56" s="236">
        <f>YEAR(Table12[[#This Row],[Date]])</f>
        <v>2025</v>
      </c>
      <c r="D56" s="236"/>
      <c r="E56" s="236"/>
      <c r="F56" s="237" t="str">
        <f>TEXT(Table12[[#This Row],[Date]],"mmm-yy")</f>
        <v>May-25</v>
      </c>
      <c r="G56" s="236">
        <f t="shared" si="5"/>
        <v>31</v>
      </c>
      <c r="H56" s="120">
        <f t="shared" si="3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6"/>
        <v>3.7790013192065595</v>
      </c>
      <c r="Z56" s="1">
        <f t="shared" si="7"/>
        <v>3.8603874415497668</v>
      </c>
    </row>
    <row r="57" spans="1:26" x14ac:dyDescent="0.3">
      <c r="A57" s="236"/>
      <c r="B57" s="236"/>
      <c r="C57" s="236">
        <f>YEAR(Table12[[#This Row],[Date]])</f>
        <v>2025</v>
      </c>
      <c r="D57" s="236"/>
      <c r="E57" s="236"/>
      <c r="F57" s="237" t="str">
        <f>TEXT(Table12[[#This Row],[Date]],"mmm-yy")</f>
        <v>May-25</v>
      </c>
      <c r="G57" s="236">
        <f t="shared" si="5"/>
        <v>31</v>
      </c>
      <c r="H57" s="120">
        <f t="shared" si="3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6"/>
        <v>2.5434595632128212</v>
      </c>
      <c r="Z57" s="1">
        <f t="shared" si="7"/>
        <v>2.5591912446670375</v>
      </c>
    </row>
    <row r="58" spans="1:26" x14ac:dyDescent="0.3">
      <c r="A58" s="236"/>
      <c r="B58" s="236"/>
      <c r="C58" s="236">
        <f>YEAR(Table12[[#This Row],[Date]])</f>
        <v>2025</v>
      </c>
      <c r="D58" s="236"/>
      <c r="E58" s="236"/>
      <c r="F58" s="237" t="str">
        <f>TEXT(Table12[[#This Row],[Date]],"mmm-yy")</f>
        <v>May-25</v>
      </c>
      <c r="G58" s="236">
        <f t="shared" si="5"/>
        <v>31</v>
      </c>
      <c r="H58" s="120">
        <f t="shared" si="3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6"/>
        <v>3.433772890110923</v>
      </c>
      <c r="Z58" s="1">
        <f t="shared" si="7"/>
        <v>3.5261361528473385</v>
      </c>
    </row>
    <row r="59" spans="1:26" x14ac:dyDescent="0.3">
      <c r="A59" s="236"/>
      <c r="B59" s="236"/>
      <c r="C59" s="236">
        <f>YEAR(Table12[[#This Row],[Date]])</f>
        <v>2025</v>
      </c>
      <c r="D59" s="236"/>
      <c r="E59" s="236"/>
      <c r="F59" s="237" t="str">
        <f>TEXT(Table12[[#This Row],[Date]],"mmm-yy")</f>
        <v>May-25</v>
      </c>
      <c r="G59" s="236">
        <f t="shared" si="5"/>
        <v>31</v>
      </c>
      <c r="H59" s="120">
        <f t="shared" si="3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6"/>
        <v>4.1200321944894895</v>
      </c>
      <c r="Z59" s="1">
        <f t="shared" si="7"/>
        <v>4.2964199591912449</v>
      </c>
    </row>
    <row r="60" spans="1:26" x14ac:dyDescent="0.3">
      <c r="A60" s="236"/>
      <c r="B60" s="236"/>
      <c r="C60" s="236">
        <f>YEAR(Table12[[#This Row],[Date]])</f>
        <v>2025</v>
      </c>
      <c r="D60" s="236"/>
      <c r="E60" s="236"/>
      <c r="F60" s="237" t="str">
        <f>TEXT(Table12[[#This Row],[Date]],"mmm-yy")</f>
        <v>May-25</v>
      </c>
      <c r="G60" s="236">
        <f t="shared" si="5"/>
        <v>31</v>
      </c>
      <c r="H60" s="120">
        <f t="shared" si="3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6"/>
        <v>3.4034646136463849</v>
      </c>
      <c r="Z60" s="1">
        <f t="shared" si="7"/>
        <v>3.5131886477462433</v>
      </c>
    </row>
    <row r="61" spans="1:26" x14ac:dyDescent="0.3">
      <c r="A61" s="236"/>
      <c r="B61" s="236"/>
      <c r="C61" s="236">
        <f>YEAR(Table12[[#This Row],[Date]])</f>
        <v>2025</v>
      </c>
      <c r="D61" s="236"/>
      <c r="E61" s="236"/>
      <c r="F61" s="237" t="str">
        <f>TEXT(Table12[[#This Row],[Date]],"mmm-yy")</f>
        <v>May-25</v>
      </c>
      <c r="G61" s="236">
        <f t="shared" si="5"/>
        <v>31</v>
      </c>
      <c r="H61" s="120">
        <f t="shared" si="3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6"/>
        <v>2.9515080856596536</v>
      </c>
      <c r="Z61" s="1">
        <f t="shared" si="7"/>
        <v>3.0010391152675724</v>
      </c>
    </row>
    <row r="62" spans="1:26" x14ac:dyDescent="0.3">
      <c r="A62" s="236"/>
      <c r="B62" s="236"/>
      <c r="C62" s="236">
        <f>YEAR(Table12[[#This Row],[Date]])</f>
        <v>2025</v>
      </c>
      <c r="D62" s="236"/>
      <c r="E62" s="236"/>
      <c r="F62" s="237" t="str">
        <f>TEXT(Table12[[#This Row],[Date]],"mmm-yy")</f>
        <v>May-25</v>
      </c>
      <c r="G62" s="236">
        <f t="shared" si="5"/>
        <v>31</v>
      </c>
      <c r="H62" s="120">
        <f t="shared" si="3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6"/>
        <v>2.3769215520469653</v>
      </c>
      <c r="Z62" s="1">
        <f t="shared" si="7"/>
        <v>2.3949916527545914</v>
      </c>
    </row>
    <row r="63" spans="1:26" x14ac:dyDescent="0.3">
      <c r="A63" s="236"/>
      <c r="B63" s="236"/>
      <c r="C63" s="236">
        <f>YEAR(Table12[[#This Row],[Date]])</f>
        <v>2025</v>
      </c>
      <c r="D63" s="236"/>
      <c r="E63" s="236"/>
      <c r="F63" s="237" t="str">
        <f>TEXT(Table12[[#This Row],[Date]],"mmm-yy")</f>
        <v>May-25</v>
      </c>
      <c r="G63" s="236">
        <f t="shared" si="5"/>
        <v>31</v>
      </c>
      <c r="H63" s="120">
        <f t="shared" si="3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6"/>
        <v>2.4845767334693529</v>
      </c>
      <c r="Z63" s="1">
        <f t="shared" si="7"/>
        <v>2.5319235763309216</v>
      </c>
    </row>
    <row r="64" spans="1:26" x14ac:dyDescent="0.3">
      <c r="A64" s="236"/>
      <c r="B64" s="236"/>
      <c r="C64" s="236">
        <f>YEAR(Table12[[#This Row],[Date]])</f>
        <v>2025</v>
      </c>
      <c r="D64" s="236"/>
      <c r="E64" s="236"/>
      <c r="F64" s="237" t="str">
        <f>TEXT(Table12[[#This Row],[Date]],"mmm-yy")</f>
        <v>May-25</v>
      </c>
      <c r="G64" s="236">
        <f t="shared" si="5"/>
        <v>31</v>
      </c>
      <c r="H64" s="120">
        <f t="shared" si="3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6"/>
        <v>2.7726663803446026</v>
      </c>
      <c r="Z64" s="1">
        <f t="shared" si="7"/>
        <v>2.8150621406047116</v>
      </c>
    </row>
    <row r="65" spans="1:26" x14ac:dyDescent="0.3">
      <c r="A65" s="236"/>
      <c r="B65" s="236"/>
      <c r="C65" s="236">
        <f>YEAR(Table12[[#This Row],[Date]])</f>
        <v>2025</v>
      </c>
      <c r="D65" s="236"/>
      <c r="E65" s="236"/>
      <c r="F65" s="237" t="str">
        <f>TEXT(Table12[[#This Row],[Date]],"mmm-yy")</f>
        <v>May-25</v>
      </c>
      <c r="G65" s="236">
        <f t="shared" si="5"/>
        <v>31</v>
      </c>
      <c r="H65" s="120">
        <f t="shared" si="3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6"/>
        <v>2.3700661496587592</v>
      </c>
      <c r="Z65" s="1">
        <f t="shared" si="7"/>
        <v>2.3889816360601004</v>
      </c>
    </row>
    <row r="66" spans="1:26" x14ac:dyDescent="0.3">
      <c r="A66" s="236"/>
      <c r="B66" s="236"/>
      <c r="C66" s="236">
        <f>YEAR(Table12[[#This Row],[Date]])</f>
        <v>2025</v>
      </c>
      <c r="D66" s="236"/>
      <c r="E66" s="236"/>
      <c r="F66" s="237" t="str">
        <f>TEXT(Table12[[#This Row],[Date]],"mmm-yy")</f>
        <v>May-25</v>
      </c>
      <c r="G66" s="236">
        <f t="shared" si="5"/>
        <v>31</v>
      </c>
      <c r="H66" s="120">
        <f t="shared" si="3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6"/>
        <v>4.4566596141729109</v>
      </c>
      <c r="Z66" s="1">
        <f t="shared" si="7"/>
        <v>4.4993507698015209</v>
      </c>
    </row>
    <row r="67" spans="1:26" x14ac:dyDescent="0.3">
      <c r="A67" s="236"/>
      <c r="B67" s="236"/>
      <c r="C67" s="236">
        <f>YEAR(Table12[[#This Row],[Date]])</f>
        <v>2025</v>
      </c>
      <c r="D67" s="236"/>
      <c r="E67" s="236"/>
      <c r="F67" s="237" t="str">
        <f>TEXT(Table12[[#This Row],[Date]],"mmm-yy")</f>
        <v>May-25</v>
      </c>
      <c r="G67" s="236">
        <f t="shared" si="5"/>
        <v>31</v>
      </c>
      <c r="H67" s="120">
        <f t="shared" si="3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6"/>
        <v>4.9961555428175002</v>
      </c>
      <c r="Z67" s="1">
        <f t="shared" si="7"/>
        <v>5.0618809126321649</v>
      </c>
    </row>
    <row r="68" spans="1:26" x14ac:dyDescent="0.3">
      <c r="A68" s="236"/>
      <c r="B68" s="236"/>
      <c r="C68" s="236">
        <f>YEAR(Table12[[#This Row],[Date]])</f>
        <v>2025</v>
      </c>
      <c r="D68" s="236"/>
      <c r="E68" s="236"/>
      <c r="F68" s="237" t="str">
        <f>TEXT(Table12[[#This Row],[Date]],"mmm-yy")</f>
        <v>Jun-25</v>
      </c>
      <c r="G68" s="236">
        <f t="shared" si="5"/>
        <v>30</v>
      </c>
      <c r="H68" s="120">
        <f t="shared" si="3"/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6"/>
        <v>4.8455910326611038</v>
      </c>
      <c r="Z68" s="1">
        <f t="shared" si="7"/>
        <v>4.9491374513077355</v>
      </c>
    </row>
    <row r="69" spans="1:26" x14ac:dyDescent="0.3">
      <c r="A69" s="236"/>
      <c r="B69" s="236"/>
      <c r="C69" s="236">
        <f>YEAR(Table12[[#This Row],[Date]])</f>
        <v>2025</v>
      </c>
      <c r="D69" s="236"/>
      <c r="E69" s="236"/>
      <c r="F69" s="237" t="str">
        <f>TEXT(Table12[[#This Row],[Date]],"mmm-yy")</f>
        <v>Jun-25</v>
      </c>
      <c r="G69" s="236">
        <f t="shared" si="5"/>
        <v>30</v>
      </c>
      <c r="H69" s="120">
        <f t="shared" ref="H69:H132" si="8">H68+1</f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6"/>
        <v>4.0641822861229828</v>
      </c>
      <c r="Z69" s="1">
        <f t="shared" si="7"/>
        <v>4.228751623075496</v>
      </c>
    </row>
    <row r="70" spans="1:26" x14ac:dyDescent="0.3">
      <c r="A70" s="236"/>
      <c r="B70" s="236"/>
      <c r="C70" s="236">
        <f>YEAR(Table12[[#This Row],[Date]])</f>
        <v>2025</v>
      </c>
      <c r="D70" s="236"/>
      <c r="E70" s="236"/>
      <c r="F70" s="237" t="str">
        <f>TEXT(Table12[[#This Row],[Date]],"mmm-yy")</f>
        <v>Jun-25</v>
      </c>
      <c r="G70" s="236">
        <f t="shared" si="5"/>
        <v>30</v>
      </c>
      <c r="H70" s="120">
        <f t="shared" si="8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6"/>
        <v>4.5379835887951918</v>
      </c>
      <c r="Z70" s="1">
        <f t="shared" si="7"/>
        <v>4.6538675570395105</v>
      </c>
    </row>
    <row r="71" spans="1:26" x14ac:dyDescent="0.3">
      <c r="A71" s="236"/>
      <c r="B71" s="236"/>
      <c r="C71" s="236">
        <f>YEAR(Table12[[#This Row],[Date]])</f>
        <v>2025</v>
      </c>
      <c r="D71" s="236"/>
      <c r="E71" s="236"/>
      <c r="F71" s="237" t="str">
        <f>TEXT(Table12[[#This Row],[Date]],"mmm-yy")</f>
        <v>Jun-25</v>
      </c>
      <c r="G71" s="236">
        <f t="shared" si="5"/>
        <v>30</v>
      </c>
      <c r="H71" s="120">
        <f t="shared" si="8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6"/>
        <v>5.1375401947860704</v>
      </c>
      <c r="Z71" s="1">
        <f t="shared" si="7"/>
        <v>5.2235948803561492</v>
      </c>
    </row>
    <row r="72" spans="1:26" x14ac:dyDescent="0.3">
      <c r="A72" s="236"/>
      <c r="B72" s="236"/>
      <c r="C72" s="236">
        <f>YEAR(Table12[[#This Row],[Date]])</f>
        <v>2025</v>
      </c>
      <c r="D72" s="236"/>
      <c r="E72" s="236"/>
      <c r="F72" s="237" t="str">
        <f>TEXT(Table12[[#This Row],[Date]],"mmm-yy")</f>
        <v>Jun-25</v>
      </c>
      <c r="G72" s="236">
        <f t="shared" si="5"/>
        <v>30</v>
      </c>
      <c r="H72" s="120">
        <f t="shared" si="8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6"/>
        <v>3.4558893243584787</v>
      </c>
      <c r="Z72" s="1">
        <f t="shared" si="7"/>
        <v>3.4932294565015769</v>
      </c>
    </row>
    <row r="73" spans="1:26" x14ac:dyDescent="0.3">
      <c r="A73" s="236"/>
      <c r="B73" s="236"/>
      <c r="C73" s="236">
        <f>YEAR(Table12[[#This Row],[Date]])</f>
        <v>2025</v>
      </c>
      <c r="D73" s="236"/>
      <c r="E73" s="236"/>
      <c r="F73" s="237" t="str">
        <f>TEXT(Table12[[#This Row],[Date]],"mmm-yy")</f>
        <v>Jun-25</v>
      </c>
      <c r="G73" s="236">
        <f t="shared" si="5"/>
        <v>30</v>
      </c>
      <c r="H73" s="120">
        <f t="shared" si="8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6"/>
        <v>3.7660417644916571</v>
      </c>
      <c r="Z73" s="1">
        <f t="shared" si="7"/>
        <v>3.8611760341309589</v>
      </c>
    </row>
    <row r="74" spans="1:26" x14ac:dyDescent="0.3">
      <c r="A74" s="236"/>
      <c r="B74" s="236"/>
      <c r="C74" s="236">
        <f>YEAR(Table12[[#This Row],[Date]])</f>
        <v>2025</v>
      </c>
      <c r="D74" s="236"/>
      <c r="E74" s="236"/>
      <c r="F74" s="237" t="str">
        <f>TEXT(Table12[[#This Row],[Date]],"mmm-yy")</f>
        <v>Jun-25</v>
      </c>
      <c r="G74" s="236">
        <f t="shared" si="5"/>
        <v>30</v>
      </c>
      <c r="H74" s="120">
        <f t="shared" si="8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6"/>
        <v>3.1513219142347499</v>
      </c>
      <c r="Z74" s="1">
        <f t="shared" si="7"/>
        <v>3.213503988128362</v>
      </c>
    </row>
    <row r="75" spans="1:26" x14ac:dyDescent="0.3">
      <c r="A75" s="236"/>
      <c r="B75" s="236"/>
      <c r="C75" s="236">
        <f>YEAR(Table12[[#This Row],[Date]])</f>
        <v>2025</v>
      </c>
      <c r="D75" s="236"/>
      <c r="E75" s="236"/>
      <c r="F75" s="237" t="str">
        <f>TEXT(Table12[[#This Row],[Date]],"mmm-yy")</f>
        <v>Jun-25</v>
      </c>
      <c r="G75" s="236">
        <f t="shared" si="5"/>
        <v>30</v>
      </c>
      <c r="H75" s="120">
        <f t="shared" si="8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6"/>
        <v>3.978955482793785</v>
      </c>
      <c r="Z75" s="1">
        <f t="shared" si="7"/>
        <v>4.0391022073826752</v>
      </c>
    </row>
    <row r="76" spans="1:26" x14ac:dyDescent="0.3">
      <c r="A76" s="236"/>
      <c r="B76" s="236"/>
      <c r="C76" s="236">
        <f>YEAR(Table12[[#This Row],[Date]])</f>
        <v>2025</v>
      </c>
      <c r="D76" s="236"/>
      <c r="E76" s="236"/>
      <c r="F76" s="237" t="str">
        <f>TEXT(Table12[[#This Row],[Date]],"mmm-yy")</f>
        <v>Jun-25</v>
      </c>
      <c r="G76" s="236">
        <f t="shared" si="5"/>
        <v>30</v>
      </c>
      <c r="H76" s="120">
        <f t="shared" si="8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6"/>
        <v>0.58352861414174928</v>
      </c>
      <c r="Z76" s="1">
        <f t="shared" si="7"/>
        <v>0.59044013953833596</v>
      </c>
    </row>
    <row r="77" spans="1:26" x14ac:dyDescent="0.3">
      <c r="A77" s="236"/>
      <c r="B77" s="236"/>
      <c r="C77" s="236">
        <f>YEAR(Table12[[#This Row],[Date]])</f>
        <v>2025</v>
      </c>
      <c r="D77" s="236"/>
      <c r="E77" s="236"/>
      <c r="F77" s="237" t="str">
        <f>TEXT(Table12[[#This Row],[Date]],"mmm-yy")</f>
        <v>Jun-25</v>
      </c>
      <c r="G77" s="236">
        <f t="shared" si="5"/>
        <v>30</v>
      </c>
      <c r="H77" s="120">
        <f t="shared" si="8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6"/>
        <v>1.3967942513972698</v>
      </c>
      <c r="Z77" s="1">
        <f t="shared" si="7"/>
        <v>1.4124174274474877</v>
      </c>
    </row>
    <row r="78" spans="1:26" x14ac:dyDescent="0.3">
      <c r="A78" s="236"/>
      <c r="B78" s="236"/>
      <c r="C78" s="236">
        <f>YEAR(Table12[[#This Row],[Date]])</f>
        <v>2025</v>
      </c>
      <c r="D78" s="236"/>
      <c r="E78" s="236"/>
      <c r="F78" s="237" t="str">
        <f>TEXT(Table12[[#This Row],[Date]],"mmm-yy")</f>
        <v>Jun-25</v>
      </c>
      <c r="G78" s="236">
        <f t="shared" si="5"/>
        <v>30</v>
      </c>
      <c r="H78" s="120">
        <f t="shared" si="8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6"/>
        <v>3.1470680771131629</v>
      </c>
      <c r="Z78" s="1">
        <f t="shared" si="7"/>
        <v>3.181339269152291</v>
      </c>
    </row>
    <row r="79" spans="1:26" x14ac:dyDescent="0.3">
      <c r="A79" s="236"/>
      <c r="B79" s="236"/>
      <c r="C79" s="236">
        <f>YEAR(Table12[[#This Row],[Date]])</f>
        <v>2025</v>
      </c>
      <c r="D79" s="236"/>
      <c r="E79" s="236"/>
      <c r="F79" s="237" t="str">
        <f>TEXT(Table12[[#This Row],[Date]],"mmm-yy")</f>
        <v>Jun-25</v>
      </c>
      <c r="G79" s="236">
        <f t="shared" si="5"/>
        <v>30</v>
      </c>
      <c r="H79" s="120">
        <f t="shared" si="8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6"/>
        <v>3.2316013554607195</v>
      </c>
      <c r="Z79" s="1">
        <f t="shared" si="7"/>
        <v>3.2748284177332594</v>
      </c>
    </row>
    <row r="80" spans="1:26" x14ac:dyDescent="0.3">
      <c r="A80" s="236"/>
      <c r="B80" s="236"/>
      <c r="C80" s="236">
        <f>YEAR(Table12[[#This Row],[Date]])</f>
        <v>2025</v>
      </c>
      <c r="D80" s="236"/>
      <c r="E80" s="236"/>
      <c r="F80" s="237" t="str">
        <f>TEXT(Table12[[#This Row],[Date]],"mmm-yy")</f>
        <v>Jun-25</v>
      </c>
      <c r="G80" s="236">
        <f t="shared" si="5"/>
        <v>30</v>
      </c>
      <c r="H80" s="120">
        <f t="shared" si="8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6"/>
        <v>3.4724699257787219</v>
      </c>
      <c r="Z80" s="1">
        <f t="shared" si="7"/>
        <v>3.5326655537006117</v>
      </c>
    </row>
    <row r="81" spans="1:26" x14ac:dyDescent="0.3">
      <c r="A81" s="236"/>
      <c r="B81" s="236"/>
      <c r="C81" s="236">
        <f>YEAR(Table12[[#This Row],[Date]])</f>
        <v>2025</v>
      </c>
      <c r="D81" s="236"/>
      <c r="E81" s="236"/>
      <c r="F81" s="237" t="str">
        <f>TEXT(Table12[[#This Row],[Date]],"mmm-yy")</f>
        <v>Jun-25</v>
      </c>
      <c r="G81" s="236">
        <f t="shared" si="5"/>
        <v>30</v>
      </c>
      <c r="H81" s="120">
        <f t="shared" si="8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6"/>
        <v>2.4939905227275232</v>
      </c>
      <c r="Z81" s="1">
        <f t="shared" si="7"/>
        <v>2.5337785197551472</v>
      </c>
    </row>
    <row r="82" spans="1:26" x14ac:dyDescent="0.3">
      <c r="A82" s="236"/>
      <c r="B82" s="236"/>
      <c r="C82" s="236">
        <f>YEAR(Table12[[#This Row],[Date]])</f>
        <v>2025</v>
      </c>
      <c r="D82" s="236"/>
      <c r="E82" s="236"/>
      <c r="F82" s="237" t="str">
        <f>TEXT(Table12[[#This Row],[Date]],"mmm-yy")</f>
        <v>Jun-25</v>
      </c>
      <c r="G82" s="236">
        <f t="shared" si="5"/>
        <v>30</v>
      </c>
      <c r="H82" s="120">
        <f t="shared" si="8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6"/>
        <v>3.228292202274019</v>
      </c>
      <c r="Z82" s="1">
        <f t="shared" si="7"/>
        <v>3.294045631608236</v>
      </c>
    </row>
    <row r="83" spans="1:26" x14ac:dyDescent="0.3">
      <c r="A83" s="236"/>
      <c r="B83" s="236"/>
      <c r="C83" s="236">
        <f>YEAR(Table12[[#This Row],[Date]])</f>
        <v>2025</v>
      </c>
      <c r="D83" s="236"/>
      <c r="E83" s="236"/>
      <c r="F83" s="237" t="str">
        <f>TEXT(Table12[[#This Row],[Date]],"mmm-yy")</f>
        <v>Jun-25</v>
      </c>
      <c r="G83" s="236">
        <f t="shared" si="5"/>
        <v>30</v>
      </c>
      <c r="H83" s="120">
        <f t="shared" si="8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6"/>
        <v>3.0871751098505746</v>
      </c>
      <c r="Z83" s="1">
        <f t="shared" si="7"/>
        <v>3.1526247449452791</v>
      </c>
    </row>
    <row r="84" spans="1:26" x14ac:dyDescent="0.3">
      <c r="A84" s="236"/>
      <c r="B84" s="236"/>
      <c r="C84" s="236">
        <f>YEAR(Table12[[#This Row],[Date]])</f>
        <v>2025</v>
      </c>
      <c r="D84" s="236"/>
      <c r="E84" s="236"/>
      <c r="F84" s="237" t="str">
        <f>TEXT(Table12[[#This Row],[Date]],"mmm-yy")</f>
        <v>Jun-25</v>
      </c>
      <c r="G84" s="236">
        <f t="shared" si="5"/>
        <v>30</v>
      </c>
      <c r="H84" s="120">
        <f t="shared" si="8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6"/>
        <v>3.6752234404674646</v>
      </c>
      <c r="Z84" s="1">
        <f t="shared" si="7"/>
        <v>3.7794843257280655</v>
      </c>
    </row>
    <row r="85" spans="1:26" x14ac:dyDescent="0.3">
      <c r="A85" s="236"/>
      <c r="B85" s="236"/>
      <c r="C85" s="236">
        <f>YEAR(Table12[[#This Row],[Date]])</f>
        <v>2025</v>
      </c>
      <c r="D85" s="236"/>
      <c r="E85" s="236"/>
      <c r="F85" s="237" t="str">
        <f>TEXT(Table12[[#This Row],[Date]],"mmm-yy")</f>
        <v>Jun-25</v>
      </c>
      <c r="G85" s="236">
        <f t="shared" si="5"/>
        <v>30</v>
      </c>
      <c r="H85" s="120">
        <f t="shared" si="8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6"/>
        <v>4.0769587611429836</v>
      </c>
      <c r="Z85" s="1">
        <f t="shared" si="7"/>
        <v>4.1775551845668701</v>
      </c>
    </row>
    <row r="86" spans="1:26" x14ac:dyDescent="0.3">
      <c r="A86" s="236"/>
      <c r="B86" s="236"/>
      <c r="C86" s="236">
        <f>YEAR(Table12[[#This Row],[Date]])</f>
        <v>2025</v>
      </c>
      <c r="D86" s="236"/>
      <c r="E86" s="236"/>
      <c r="F86" s="237" t="str">
        <f>TEXT(Table12[[#This Row],[Date]],"mmm-yy")</f>
        <v>Jun-25</v>
      </c>
      <c r="G86" s="236">
        <f t="shared" si="5"/>
        <v>30</v>
      </c>
      <c r="H86" s="120">
        <f t="shared" si="8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6"/>
        <v>3.1552904718571972</v>
      </c>
      <c r="Z86" s="1">
        <f t="shared" si="7"/>
        <v>3.2087553329623448</v>
      </c>
    </row>
    <row r="87" spans="1:26" x14ac:dyDescent="0.3">
      <c r="A87" s="236"/>
      <c r="B87" s="236"/>
      <c r="C87" s="236">
        <f>YEAR(Table12[[#This Row],[Date]])</f>
        <v>2025</v>
      </c>
      <c r="D87" s="236"/>
      <c r="E87" s="236"/>
      <c r="F87" s="237" t="str">
        <f>TEXT(Table12[[#This Row],[Date]],"mmm-yy")</f>
        <v>Jun-25</v>
      </c>
      <c r="G87" s="236">
        <f t="shared" si="5"/>
        <v>30</v>
      </c>
      <c r="H87" s="120">
        <f t="shared" si="8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6"/>
        <v>3.9429501570343404</v>
      </c>
      <c r="Z87" s="1">
        <f t="shared" si="7"/>
        <v>4.0688184010387687</v>
      </c>
    </row>
    <row r="88" spans="1:26" x14ac:dyDescent="0.3">
      <c r="A88" s="236"/>
      <c r="B88" s="236"/>
      <c r="C88" s="236">
        <f>YEAR(Table12[[#This Row],[Date]])</f>
        <v>2025</v>
      </c>
      <c r="D88" s="236"/>
      <c r="E88" s="236"/>
      <c r="F88" s="237" t="str">
        <f>TEXT(Table12[[#This Row],[Date]],"mmm-yy")</f>
        <v>Jun-25</v>
      </c>
      <c r="G88" s="236">
        <f t="shared" si="5"/>
        <v>30</v>
      </c>
      <c r="H88" s="120">
        <f t="shared" si="8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6"/>
        <v>4.7531056136813099</v>
      </c>
      <c r="Z88" s="1">
        <f t="shared" si="7"/>
        <v>4.8728250788350955</v>
      </c>
    </row>
    <row r="89" spans="1:26" x14ac:dyDescent="0.3">
      <c r="A89" s="236"/>
      <c r="B89" s="236"/>
      <c r="C89" s="236">
        <f>YEAR(Table12[[#This Row],[Date]])</f>
        <v>2025</v>
      </c>
      <c r="D89" s="236"/>
      <c r="E89" s="236"/>
      <c r="F89" s="237" t="str">
        <f>TEXT(Table12[[#This Row],[Date]],"mmm-yy")</f>
        <v>Jun-25</v>
      </c>
      <c r="G89" s="236">
        <f t="shared" si="5"/>
        <v>30</v>
      </c>
      <c r="H89" s="120">
        <f t="shared" si="8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6"/>
        <v>4.7040404100063773</v>
      </c>
      <c r="Z89" s="1">
        <f t="shared" si="7"/>
        <v>4.8319792246336482</v>
      </c>
    </row>
    <row r="90" spans="1:26" x14ac:dyDescent="0.3">
      <c r="A90" s="236"/>
      <c r="B90" s="236"/>
      <c r="C90" s="236">
        <f>YEAR(Table12[[#This Row],[Date]])</f>
        <v>2025</v>
      </c>
      <c r="D90" s="236"/>
      <c r="E90" s="236"/>
      <c r="F90" s="237" t="str">
        <f>TEXT(Table12[[#This Row],[Date]],"mmm-yy")</f>
        <v>Jun-25</v>
      </c>
      <c r="G90" s="236">
        <f t="shared" si="5"/>
        <v>30</v>
      </c>
      <c r="H90" s="120">
        <f t="shared" si="8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6"/>
        <v>4.0695890005948243</v>
      </c>
      <c r="Z90" s="1">
        <f t="shared" si="7"/>
        <v>4.1503617139677234</v>
      </c>
    </row>
    <row r="91" spans="1:26" x14ac:dyDescent="0.3">
      <c r="A91" s="236"/>
      <c r="B91" s="236"/>
      <c r="C91" s="236">
        <f>YEAR(Table12[[#This Row],[Date]])</f>
        <v>2025</v>
      </c>
      <c r="D91" s="236"/>
      <c r="E91" s="236"/>
      <c r="F91" s="237" t="str">
        <f>TEXT(Table12[[#This Row],[Date]],"mmm-yy")</f>
        <v>Jun-25</v>
      </c>
      <c r="G91" s="236">
        <f t="shared" si="5"/>
        <v>30</v>
      </c>
      <c r="H91" s="120">
        <f t="shared" si="8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6"/>
        <v>2.0387172047669551</v>
      </c>
      <c r="Z91" s="1">
        <f t="shared" si="7"/>
        <v>2.0716750139120759</v>
      </c>
    </row>
    <row r="92" spans="1:26" x14ac:dyDescent="0.3">
      <c r="A92" s="236"/>
      <c r="B92" s="236"/>
      <c r="C92" s="236">
        <f>YEAR(Table12[[#This Row],[Date]])</f>
        <v>2025</v>
      </c>
      <c r="D92" s="236"/>
      <c r="E92" s="236"/>
      <c r="F92" s="237" t="str">
        <f>TEXT(Table12[[#This Row],[Date]],"mmm-yy")</f>
        <v>Jun-25</v>
      </c>
      <c r="G92" s="236">
        <f t="shared" si="5"/>
        <v>30</v>
      </c>
      <c r="H92" s="120">
        <f t="shared" si="8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6"/>
        <v>3.217870475017762</v>
      </c>
      <c r="Z92" s="1">
        <f t="shared" si="7"/>
        <v>3.2613244296048971</v>
      </c>
    </row>
    <row r="93" spans="1:26" x14ac:dyDescent="0.3">
      <c r="A93" s="236"/>
      <c r="B93" s="236"/>
      <c r="C93" s="236">
        <f>YEAR(Table12[[#This Row],[Date]])</f>
        <v>2025</v>
      </c>
      <c r="D93" s="236"/>
      <c r="E93" s="236"/>
      <c r="F93" s="237" t="str">
        <f>TEXT(Table12[[#This Row],[Date]],"mmm-yy")</f>
        <v>Jun-25</v>
      </c>
      <c r="G93" s="236">
        <f t="shared" si="5"/>
        <v>30</v>
      </c>
      <c r="H93" s="120">
        <f t="shared" si="8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6"/>
        <v>3.0544384187536617</v>
      </c>
      <c r="Z93" s="1">
        <f t="shared" si="7"/>
        <v>3.0877017250973844</v>
      </c>
    </row>
    <row r="94" spans="1:26" x14ac:dyDescent="0.3">
      <c r="A94" s="236"/>
      <c r="B94" s="236"/>
      <c r="C94" s="236">
        <f>YEAR(Table12[[#This Row],[Date]])</f>
        <v>2025</v>
      </c>
      <c r="D94" s="236"/>
      <c r="E94" s="236"/>
      <c r="F94" s="237" t="str">
        <f>TEXT(Table12[[#This Row],[Date]],"mmm-yy")</f>
        <v>Jun-25</v>
      </c>
      <c r="G94" s="236">
        <f t="shared" si="5"/>
        <v>30</v>
      </c>
      <c r="H94" s="120">
        <f t="shared" si="8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6"/>
        <v>4.5730092228804091</v>
      </c>
      <c r="Z94" s="1">
        <f t="shared" si="7"/>
        <v>4.6494527916898525</v>
      </c>
    </row>
    <row r="95" spans="1:26" x14ac:dyDescent="0.3">
      <c r="A95" s="236"/>
      <c r="B95" s="236"/>
      <c r="C95" s="236">
        <f>YEAR(Table12[[#This Row],[Date]])</f>
        <v>2025</v>
      </c>
      <c r="D95" s="236"/>
      <c r="E95" s="236"/>
      <c r="F95" s="237" t="str">
        <f>TEXT(Table12[[#This Row],[Date]],"mmm-yy")</f>
        <v>Jun-25</v>
      </c>
      <c r="G95" s="236">
        <f t="shared" si="5"/>
        <v>30</v>
      </c>
      <c r="H95" s="120">
        <f t="shared" si="8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6"/>
        <v>4.2517104858320378</v>
      </c>
      <c r="Z95" s="1">
        <f t="shared" si="7"/>
        <v>4.3140048228529029</v>
      </c>
    </row>
    <row r="96" spans="1:26" x14ac:dyDescent="0.3">
      <c r="A96" s="236"/>
      <c r="B96" s="236"/>
      <c r="C96" s="236">
        <f>YEAR(Table12[[#This Row],[Date]])</f>
        <v>2025</v>
      </c>
      <c r="D96" s="236"/>
      <c r="E96" s="236"/>
      <c r="F96" s="237" t="str">
        <f>TEXT(Table12[[#This Row],[Date]],"mmm-yy")</f>
        <v>Jun-25</v>
      </c>
      <c r="G96" s="236">
        <f t="shared" si="5"/>
        <v>30</v>
      </c>
      <c r="H96" s="120">
        <f t="shared" si="8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6"/>
        <v>3.0305567126702306</v>
      </c>
      <c r="Z96" s="1">
        <f t="shared" si="7"/>
        <v>3.1051381932851054</v>
      </c>
    </row>
    <row r="97" spans="1:26" x14ac:dyDescent="0.3">
      <c r="A97" s="236"/>
      <c r="B97" s="236"/>
      <c r="C97" s="236">
        <f>YEAR(Table12[[#This Row],[Date]])</f>
        <v>2025</v>
      </c>
      <c r="D97" s="236"/>
      <c r="E97" s="236"/>
      <c r="F97" s="237" t="str">
        <f>TEXT(Table12[[#This Row],[Date]],"mmm-yy")</f>
        <v>Jun-25</v>
      </c>
      <c r="G97" s="236">
        <f t="shared" si="5"/>
        <v>30</v>
      </c>
      <c r="H97" s="120">
        <f t="shared" si="8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6"/>
        <v>2.8084155083203588</v>
      </c>
      <c r="Z97" s="1">
        <f t="shared" si="7"/>
        <v>2.8375069560378403</v>
      </c>
    </row>
    <row r="98" spans="1:26" x14ac:dyDescent="0.3">
      <c r="A98" s="236"/>
      <c r="B98" s="236"/>
      <c r="C98" s="236">
        <f>YEAR(Table12[[#This Row],[Date]])</f>
        <v>2025</v>
      </c>
      <c r="D98" s="236"/>
      <c r="E98" s="236"/>
      <c r="F98" s="237" t="str">
        <f>TEXT(Table12[[#This Row],[Date]],"mmm-yy")</f>
        <v>Jul-25</v>
      </c>
      <c r="G98" s="236">
        <f t="shared" si="5"/>
        <v>31</v>
      </c>
      <c r="H98" s="120">
        <f t="shared" si="8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6"/>
        <v>2.2137302617340358</v>
      </c>
      <c r="Z98" s="1">
        <f t="shared" si="7"/>
        <v>2.2271580197431904</v>
      </c>
    </row>
    <row r="99" spans="1:26" x14ac:dyDescent="0.3">
      <c r="A99" s="236"/>
      <c r="B99" s="236"/>
      <c r="C99" s="236">
        <f>YEAR(Table12[[#This Row],[Date]])</f>
        <v>2025</v>
      </c>
      <c r="D99" s="236"/>
      <c r="E99" s="236"/>
      <c r="F99" s="237" t="str">
        <f>TEXT(Table12[[#This Row],[Date]],"mmm-yy")</f>
        <v>Jul-25</v>
      </c>
      <c r="G99" s="236">
        <f t="shared" si="5"/>
        <v>31</v>
      </c>
      <c r="H99" s="120">
        <f t="shared" si="8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6"/>
        <v>1.3563258826731994</v>
      </c>
      <c r="Z99" s="1">
        <f t="shared" si="7"/>
        <v>1.3691828100645738</v>
      </c>
    </row>
    <row r="100" spans="1:26" x14ac:dyDescent="0.3">
      <c r="A100" s="236"/>
      <c r="B100" s="236"/>
      <c r="C100" s="236">
        <f>YEAR(Table12[[#This Row],[Date]])</f>
        <v>2025</v>
      </c>
      <c r="D100" s="236"/>
      <c r="E100" s="236"/>
      <c r="F100" s="237" t="str">
        <f>TEXT(Table12[[#This Row],[Date]],"mmm-yy")</f>
        <v>Jul-25</v>
      </c>
      <c r="G100" s="236">
        <f t="shared" ref="G100:G163" si="9">DAY(EOMONTH(F100,0))</f>
        <v>31</v>
      </c>
      <c r="H100" s="120">
        <f t="shared" si="8"/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0">IFERROR(AVERAGEIF(V100:X100,"&gt;"&amp;0,V100:X100),"")</f>
        <v>2.2528473437544942</v>
      </c>
      <c r="Z100" s="1">
        <f t="shared" ref="Z100:Z163" si="11">MAXA(V100:X100)</f>
        <v>2.263861055444222</v>
      </c>
    </row>
    <row r="101" spans="1:26" x14ac:dyDescent="0.3">
      <c r="A101" s="236"/>
      <c r="B101" s="236"/>
      <c r="C101" s="236">
        <f>YEAR(Table12[[#This Row],[Date]])</f>
        <v>2025</v>
      </c>
      <c r="D101" s="236"/>
      <c r="E101" s="236"/>
      <c r="F101" s="237" t="str">
        <f>TEXT(Table12[[#This Row],[Date]],"mmm-yy")</f>
        <v>Jul-25</v>
      </c>
      <c r="G101" s="236">
        <f t="shared" si="9"/>
        <v>31</v>
      </c>
      <c r="H101" s="120">
        <f t="shared" si="8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0"/>
        <v>3.9063816820708865</v>
      </c>
      <c r="Z101" s="1">
        <f t="shared" si="11"/>
        <v>4.0281951400482283</v>
      </c>
    </row>
    <row r="102" spans="1:26" x14ac:dyDescent="0.3">
      <c r="A102" s="236"/>
      <c r="B102" s="236"/>
      <c r="C102" s="236">
        <f>YEAR(Table12[[#This Row],[Date]])</f>
        <v>2025</v>
      </c>
      <c r="D102" s="236"/>
      <c r="E102" s="236"/>
      <c r="F102" s="237" t="str">
        <f>TEXT(Table12[[#This Row],[Date]],"mmm-yy")</f>
        <v>Jul-25</v>
      </c>
      <c r="G102" s="236">
        <f t="shared" si="9"/>
        <v>31</v>
      </c>
      <c r="H102" s="120">
        <f t="shared" si="8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0"/>
        <v>3.7040188830926368</v>
      </c>
      <c r="Z102" s="1">
        <f t="shared" si="11"/>
        <v>3.7926544240400668</v>
      </c>
    </row>
    <row r="103" spans="1:26" x14ac:dyDescent="0.3">
      <c r="A103" s="236"/>
      <c r="B103" s="236"/>
      <c r="C103" s="236">
        <f>YEAR(Table12[[#This Row],[Date]])</f>
        <v>2025</v>
      </c>
      <c r="D103" s="236"/>
      <c r="E103" s="236"/>
      <c r="F103" s="237" t="str">
        <f>TEXT(Table12[[#This Row],[Date]],"mmm-yy")</f>
        <v>Jul-25</v>
      </c>
      <c r="G103" s="236">
        <f t="shared" si="9"/>
        <v>31</v>
      </c>
      <c r="H103" s="120">
        <f t="shared" si="8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0"/>
        <v>4.0439946601936985</v>
      </c>
      <c r="Z103" s="1">
        <f t="shared" si="11"/>
        <v>4.1168614357262108</v>
      </c>
    </row>
    <row r="104" spans="1:26" x14ac:dyDescent="0.3">
      <c r="A104" s="236"/>
      <c r="B104" s="236"/>
      <c r="C104" s="236">
        <f>YEAR(Table12[[#This Row],[Date]])</f>
        <v>2025</v>
      </c>
      <c r="D104" s="236"/>
      <c r="E104" s="236"/>
      <c r="F104" s="237" t="str">
        <f>TEXT(Table12[[#This Row],[Date]],"mmm-yy")</f>
        <v>Jul-25</v>
      </c>
      <c r="G104" s="236">
        <f t="shared" si="9"/>
        <v>31</v>
      </c>
      <c r="H104" s="120">
        <f t="shared" si="8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0"/>
        <v>1.9367177730940848</v>
      </c>
      <c r="Z104" s="1">
        <f t="shared" si="11"/>
        <v>1.9569653125579669</v>
      </c>
    </row>
    <row r="105" spans="1:26" x14ac:dyDescent="0.3">
      <c r="A105" s="236"/>
      <c r="B105" s="236"/>
      <c r="C105" s="236">
        <f>YEAR(Table12[[#This Row],[Date]])</f>
        <v>2025</v>
      </c>
      <c r="D105" s="236"/>
      <c r="E105" s="236"/>
      <c r="F105" s="237" t="str">
        <f>TEXT(Table12[[#This Row],[Date]],"mmm-yy")</f>
        <v>Jul-25</v>
      </c>
      <c r="G105" s="236">
        <f t="shared" si="9"/>
        <v>31</v>
      </c>
      <c r="H105" s="120">
        <f t="shared" si="8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0"/>
        <v>2.8633544984988091</v>
      </c>
      <c r="Z105" s="1">
        <f t="shared" si="11"/>
        <v>2.9101465405305138</v>
      </c>
    </row>
    <row r="106" spans="1:26" x14ac:dyDescent="0.3">
      <c r="A106" s="236"/>
      <c r="B106" s="236"/>
      <c r="C106" s="236">
        <f>YEAR(Table12[[#This Row],[Date]])</f>
        <v>2025</v>
      </c>
      <c r="D106" s="236"/>
      <c r="E106" s="236"/>
      <c r="F106" s="237" t="str">
        <f>TEXT(Table12[[#This Row],[Date]],"mmm-yy")</f>
        <v>Jul-25</v>
      </c>
      <c r="G106" s="236">
        <f t="shared" si="9"/>
        <v>31</v>
      </c>
      <c r="H106" s="120">
        <f t="shared" si="8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0"/>
        <v>3.0962771681985064</v>
      </c>
      <c r="Z106" s="1">
        <f t="shared" si="11"/>
        <v>3.172546837321462</v>
      </c>
    </row>
    <row r="107" spans="1:26" x14ac:dyDescent="0.3">
      <c r="A107" s="236"/>
      <c r="B107" s="236"/>
      <c r="C107" s="236">
        <f>YEAR(Table12[[#This Row],[Date]])</f>
        <v>2025</v>
      </c>
      <c r="D107" s="236"/>
      <c r="E107" s="236"/>
      <c r="F107" s="237" t="str">
        <f>TEXT(Table12[[#This Row],[Date]],"mmm-yy")</f>
        <v>Jul-25</v>
      </c>
      <c r="G107" s="236">
        <f t="shared" si="9"/>
        <v>31</v>
      </c>
      <c r="H107" s="120">
        <f t="shared" si="8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0"/>
        <v>4.1264506860341292</v>
      </c>
      <c r="Z107" s="1">
        <f t="shared" si="11"/>
        <v>4.1972917826006304</v>
      </c>
    </row>
    <row r="108" spans="1:26" x14ac:dyDescent="0.3">
      <c r="A108" s="236"/>
      <c r="B108" s="236"/>
      <c r="C108" s="236">
        <f>YEAR(Table12[[#This Row],[Date]])</f>
        <v>2025</v>
      </c>
      <c r="D108" s="236"/>
      <c r="E108" s="236"/>
      <c r="F108" s="237" t="str">
        <f>TEXT(Table12[[#This Row],[Date]],"mmm-yy")</f>
        <v>Jul-25</v>
      </c>
      <c r="G108" s="236">
        <f t="shared" si="9"/>
        <v>31</v>
      </c>
      <c r="H108" s="120">
        <f t="shared" si="8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0"/>
        <v>4.1872700999470522</v>
      </c>
      <c r="Z108" s="1">
        <f t="shared" si="11"/>
        <v>4.2945650157670192</v>
      </c>
    </row>
    <row r="109" spans="1:26" x14ac:dyDescent="0.3">
      <c r="A109" s="236"/>
      <c r="B109" s="236"/>
      <c r="C109" s="236">
        <f>YEAR(Table12[[#This Row],[Date]])</f>
        <v>2025</v>
      </c>
      <c r="D109" s="236"/>
      <c r="E109" s="236"/>
      <c r="F109" s="237" t="str">
        <f>TEXT(Table12[[#This Row],[Date]],"mmm-yy")</f>
        <v>Jul-25</v>
      </c>
      <c r="G109" s="236">
        <f t="shared" si="9"/>
        <v>31</v>
      </c>
      <c r="H109" s="120">
        <f t="shared" si="8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0"/>
        <v>3.9150470260469938</v>
      </c>
      <c r="Z109" s="1">
        <f t="shared" si="11"/>
        <v>4.023149693934335</v>
      </c>
    </row>
    <row r="110" spans="1:26" x14ac:dyDescent="0.3">
      <c r="A110" s="236"/>
      <c r="B110" s="236"/>
      <c r="C110" s="236">
        <f>YEAR(Table12[[#This Row],[Date]])</f>
        <v>2025</v>
      </c>
      <c r="D110" s="236"/>
      <c r="E110" s="236"/>
      <c r="F110" s="237" t="str">
        <f>TEXT(Table12[[#This Row],[Date]],"mmm-yy")</f>
        <v>Jul-25</v>
      </c>
      <c r="G110" s="236">
        <f t="shared" si="9"/>
        <v>31</v>
      </c>
      <c r="H110" s="120">
        <f t="shared" si="8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0"/>
        <v>4.1154139830614014</v>
      </c>
      <c r="Z110" s="1">
        <f t="shared" si="11"/>
        <v>4.1777406789092923</v>
      </c>
    </row>
    <row r="111" spans="1:26" x14ac:dyDescent="0.3">
      <c r="A111" s="236"/>
      <c r="B111" s="236"/>
      <c r="C111" s="236">
        <f>YEAR(Table12[[#This Row],[Date]])</f>
        <v>2025</v>
      </c>
      <c r="D111" s="236"/>
      <c r="E111" s="236"/>
      <c r="F111" s="237" t="str">
        <f>TEXT(Table12[[#This Row],[Date]],"mmm-yy")</f>
        <v>Jul-25</v>
      </c>
      <c r="G111" s="236">
        <f t="shared" si="9"/>
        <v>31</v>
      </c>
      <c r="H111" s="120">
        <f t="shared" si="8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0"/>
        <v>4.5676965909012823</v>
      </c>
      <c r="Z111" s="1">
        <f t="shared" si="11"/>
        <v>4.7415692821368944</v>
      </c>
    </row>
    <row r="112" spans="1:26" x14ac:dyDescent="0.3">
      <c r="A112" s="236"/>
      <c r="B112" s="236"/>
      <c r="C112" s="236">
        <f>YEAR(Table12[[#This Row],[Date]])</f>
        <v>2025</v>
      </c>
      <c r="D112" s="236"/>
      <c r="E112" s="236"/>
      <c r="F112" s="237" t="str">
        <f>TEXT(Table12[[#This Row],[Date]],"mmm-yy")</f>
        <v>Jul-25</v>
      </c>
      <c r="G112" s="236">
        <f t="shared" si="9"/>
        <v>31</v>
      </c>
      <c r="H112" s="120">
        <f t="shared" si="8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0"/>
        <v>3.5542403632265969</v>
      </c>
      <c r="Z112" s="1">
        <f t="shared" si="11"/>
        <v>3.6415507327026524</v>
      </c>
    </row>
    <row r="113" spans="1:26" x14ac:dyDescent="0.3">
      <c r="A113" s="236"/>
      <c r="B113" s="236"/>
      <c r="C113" s="236">
        <f>YEAR(Table12[[#This Row],[Date]])</f>
        <v>2025</v>
      </c>
      <c r="D113" s="236"/>
      <c r="E113" s="236"/>
      <c r="F113" s="237" t="str">
        <f>TEXT(Table12[[#This Row],[Date]],"mmm-yy")</f>
        <v>Jul-25</v>
      </c>
      <c r="G113" s="236">
        <f t="shared" si="9"/>
        <v>31</v>
      </c>
      <c r="H113" s="120">
        <f t="shared" si="8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0"/>
        <v>3.8506145778058207</v>
      </c>
      <c r="Z113" s="1">
        <f t="shared" si="11"/>
        <v>3.9325913559636434</v>
      </c>
    </row>
    <row r="114" spans="1:26" x14ac:dyDescent="0.3">
      <c r="A114" s="236"/>
      <c r="B114" s="236"/>
      <c r="C114" s="236">
        <f>YEAR(Table12[[#This Row],[Date]])</f>
        <v>2025</v>
      </c>
      <c r="D114" s="236"/>
      <c r="E114" s="236"/>
      <c r="F114" s="237" t="str">
        <f>TEXT(Table12[[#This Row],[Date]],"mmm-yy")</f>
        <v>Jul-25</v>
      </c>
      <c r="G114" s="236">
        <f t="shared" si="9"/>
        <v>31</v>
      </c>
      <c r="H114" s="120">
        <f t="shared" si="8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0"/>
        <v>2.5892708500328339</v>
      </c>
      <c r="Z114" s="1">
        <f t="shared" si="11"/>
        <v>2.6106286647368813</v>
      </c>
    </row>
    <row r="115" spans="1:26" x14ac:dyDescent="0.3">
      <c r="A115" s="236"/>
      <c r="B115" s="236"/>
      <c r="C115" s="236">
        <f>YEAR(Table12[[#This Row],[Date]])</f>
        <v>2025</v>
      </c>
      <c r="D115" s="236"/>
      <c r="E115" s="236"/>
      <c r="F115" s="237" t="str">
        <f>TEXT(Table12[[#This Row],[Date]],"mmm-yy")</f>
        <v>Jul-25</v>
      </c>
      <c r="G115" s="236">
        <f t="shared" si="9"/>
        <v>31</v>
      </c>
      <c r="H115" s="120">
        <f t="shared" si="8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0"/>
        <v>3.1335851576207445</v>
      </c>
      <c r="Z115" s="1">
        <f t="shared" si="11"/>
        <v>3.1731775180856983</v>
      </c>
    </row>
    <row r="116" spans="1:26" x14ac:dyDescent="0.3">
      <c r="A116" s="236"/>
      <c r="B116" s="236"/>
      <c r="C116" s="236">
        <f>YEAR(Table12[[#This Row],[Date]])</f>
        <v>2025</v>
      </c>
      <c r="D116" s="236"/>
      <c r="E116" s="236"/>
      <c r="F116" s="237" t="str">
        <f>TEXT(Table12[[#This Row],[Date]],"mmm-yy")</f>
        <v>Jul-25</v>
      </c>
      <c r="G116" s="236">
        <f t="shared" si="9"/>
        <v>31</v>
      </c>
      <c r="H116" s="120">
        <f t="shared" si="8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0"/>
        <v>2.9422627587939232</v>
      </c>
      <c r="Z116" s="1">
        <f t="shared" si="11"/>
        <v>3.0718605082544985</v>
      </c>
    </row>
    <row r="117" spans="1:26" x14ac:dyDescent="0.3">
      <c r="A117" s="236"/>
      <c r="B117" s="236"/>
      <c r="C117" s="236">
        <f>YEAR(Table12[[#This Row],[Date]])</f>
        <v>2025</v>
      </c>
      <c r="D117" s="236"/>
      <c r="E117" s="236"/>
      <c r="F117" s="237" t="str">
        <f>TEXT(Table12[[#This Row],[Date]],"mmm-yy")</f>
        <v>Jul-25</v>
      </c>
      <c r="G117" s="236">
        <f t="shared" si="9"/>
        <v>31</v>
      </c>
      <c r="H117" s="120">
        <f t="shared" si="8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0"/>
        <v>3.8222326958843253</v>
      </c>
      <c r="Z117" s="1">
        <f t="shared" si="11"/>
        <v>3.9106288258208126</v>
      </c>
    </row>
    <row r="118" spans="1:26" x14ac:dyDescent="0.3">
      <c r="A118" s="236"/>
      <c r="B118" s="236"/>
      <c r="C118" s="236">
        <f>YEAR(Table12[[#This Row],[Date]])</f>
        <v>2025</v>
      </c>
      <c r="D118" s="236"/>
      <c r="E118" s="236"/>
      <c r="F118" s="237" t="str">
        <f>TEXT(Table12[[#This Row],[Date]],"mmm-yy")</f>
        <v>Jul-25</v>
      </c>
      <c r="G118" s="236">
        <f t="shared" si="9"/>
        <v>31</v>
      </c>
      <c r="H118" s="120">
        <f t="shared" si="8"/>
        <v>45859</v>
      </c>
      <c r="I118" s="1">
        <v>8.0208999999999993</v>
      </c>
      <c r="J118" s="1">
        <f>'Raw Data'!K118/Inv_SY!J$2</f>
        <v>0</v>
      </c>
      <c r="K118" s="1">
        <f>'Raw Data'!L118/Inv_SY!K$2</f>
        <v>0</v>
      </c>
      <c r="L118" s="1">
        <f>'Raw Data'!M118/Inv_SY!L$2</f>
        <v>0</v>
      </c>
      <c r="M118" s="1">
        <f>'Raw Data'!N118/Inv_SY!M$2</f>
        <v>0</v>
      </c>
      <c r="N118" s="1">
        <f>'Raw Data'!O118/Inv_SY!N$2</f>
        <v>0</v>
      </c>
      <c r="O118" s="1">
        <f>'Raw Data'!P118/Inv_SY!O$2</f>
        <v>0</v>
      </c>
      <c r="P118" s="1">
        <f>'Raw Data'!Q118/Inv_SY!P$2</f>
        <v>0</v>
      </c>
      <c r="Q118" s="1">
        <f>'Raw Data'!R118/Inv_SY!Q$2</f>
        <v>0</v>
      </c>
      <c r="R118" s="1">
        <f>'Raw Data'!S118/Inv_SY!R$2</f>
        <v>0</v>
      </c>
      <c r="S118" s="1">
        <f>'Raw Data'!T118/Inv_SY!S$2</f>
        <v>0</v>
      </c>
      <c r="T118" s="1">
        <f>'Raw Data'!U118/Inv_SY!T$2</f>
        <v>0</v>
      </c>
      <c r="U118" s="1">
        <f>'Raw Data'!V118/Inv_SY!U$2</f>
        <v>0</v>
      </c>
      <c r="V118" s="1">
        <f>'Raw Data'!W118/Inv_SY!V$2</f>
        <v>0</v>
      </c>
      <c r="W118" s="1">
        <f>'Raw Data'!X118/Inv_SY!W$2</f>
        <v>0</v>
      </c>
      <c r="X118" s="1">
        <f>'Raw Data'!Y118/Inv_SY!X$2</f>
        <v>0</v>
      </c>
      <c r="Y118" s="1" t="str">
        <f t="shared" si="10"/>
        <v/>
      </c>
      <c r="Z118" s="1">
        <f t="shared" si="11"/>
        <v>0</v>
      </c>
    </row>
    <row r="119" spans="1:26" x14ac:dyDescent="0.3">
      <c r="A119" s="236"/>
      <c r="B119" s="236"/>
      <c r="C119" s="236">
        <f>YEAR(Table12[[#This Row],[Date]])</f>
        <v>2025</v>
      </c>
      <c r="D119" s="236"/>
      <c r="E119" s="236"/>
      <c r="F119" s="237" t="str">
        <f>TEXT(Table12[[#This Row],[Date]],"mmm-yy")</f>
        <v>Jul-25</v>
      </c>
      <c r="G119" s="236">
        <f t="shared" si="9"/>
        <v>31</v>
      </c>
      <c r="H119" s="120">
        <f t="shared" si="8"/>
        <v>45860</v>
      </c>
      <c r="I119" s="1">
        <v>8.0208999999999993</v>
      </c>
      <c r="J119" s="1">
        <f>'Raw Data'!K119/Inv_SY!J$2</f>
        <v>0</v>
      </c>
      <c r="K119" s="1">
        <f>'Raw Data'!L119/Inv_SY!K$2</f>
        <v>0</v>
      </c>
      <c r="L119" s="1">
        <f>'Raw Data'!M119/Inv_SY!L$2</f>
        <v>0</v>
      </c>
      <c r="M119" s="1">
        <f>'Raw Data'!N119/Inv_SY!M$2</f>
        <v>0</v>
      </c>
      <c r="N119" s="1">
        <f>'Raw Data'!O119/Inv_SY!N$2</f>
        <v>0</v>
      </c>
      <c r="O119" s="1">
        <f>'Raw Data'!P119/Inv_SY!O$2</f>
        <v>0</v>
      </c>
      <c r="P119" s="1">
        <f>'Raw Data'!Q119/Inv_SY!P$2</f>
        <v>0</v>
      </c>
      <c r="Q119" s="1">
        <f>'Raw Data'!R119/Inv_SY!Q$2</f>
        <v>0</v>
      </c>
      <c r="R119" s="1">
        <f>'Raw Data'!S119/Inv_SY!R$2</f>
        <v>0</v>
      </c>
      <c r="S119" s="1">
        <f>'Raw Data'!T119/Inv_SY!S$2</f>
        <v>0</v>
      </c>
      <c r="T119" s="1">
        <f>'Raw Data'!U119/Inv_SY!T$2</f>
        <v>0</v>
      </c>
      <c r="U119" s="1">
        <f>'Raw Data'!V119/Inv_SY!U$2</f>
        <v>0</v>
      </c>
      <c r="V119" s="1">
        <f>'Raw Data'!W119/Inv_SY!V$2</f>
        <v>0</v>
      </c>
      <c r="W119" s="1">
        <f>'Raw Data'!X119/Inv_SY!W$2</f>
        <v>0</v>
      </c>
      <c r="X119" s="1">
        <f>'Raw Data'!Y119/Inv_SY!X$2</f>
        <v>0</v>
      </c>
      <c r="Y119" s="1" t="str">
        <f t="shared" si="10"/>
        <v/>
      </c>
      <c r="Z119" s="1">
        <f t="shared" si="11"/>
        <v>0</v>
      </c>
    </row>
    <row r="120" spans="1:26" x14ac:dyDescent="0.3">
      <c r="A120" s="236"/>
      <c r="B120" s="236"/>
      <c r="C120" s="236">
        <f>YEAR(Table12[[#This Row],[Date]])</f>
        <v>2025</v>
      </c>
      <c r="D120" s="236"/>
      <c r="E120" s="236"/>
      <c r="F120" s="237" t="str">
        <f>TEXT(Table12[[#This Row],[Date]],"mmm-yy")</f>
        <v>Jul-25</v>
      </c>
      <c r="G120" s="236">
        <f t="shared" si="9"/>
        <v>31</v>
      </c>
      <c r="H120" s="120">
        <f t="shared" si="8"/>
        <v>45861</v>
      </c>
      <c r="I120" s="1">
        <v>8.0208999999999993</v>
      </c>
      <c r="J120" s="1">
        <f>'Raw Data'!K120/Inv_SY!J$2</f>
        <v>0</v>
      </c>
      <c r="K120" s="1">
        <f>'Raw Data'!L120/Inv_SY!K$2</f>
        <v>0</v>
      </c>
      <c r="L120" s="1">
        <f>'Raw Data'!M120/Inv_SY!L$2</f>
        <v>0</v>
      </c>
      <c r="M120" s="1">
        <f>'Raw Data'!N120/Inv_SY!M$2</f>
        <v>0</v>
      </c>
      <c r="N120" s="1">
        <f>'Raw Data'!O120/Inv_SY!N$2</f>
        <v>0</v>
      </c>
      <c r="O120" s="1">
        <f>'Raw Data'!P120/Inv_SY!O$2</f>
        <v>0</v>
      </c>
      <c r="P120" s="1">
        <f>'Raw Data'!Q120/Inv_SY!P$2</f>
        <v>0</v>
      </c>
      <c r="Q120" s="1">
        <f>'Raw Data'!R120/Inv_SY!Q$2</f>
        <v>0</v>
      </c>
      <c r="R120" s="1">
        <f>'Raw Data'!S120/Inv_SY!R$2</f>
        <v>0</v>
      </c>
      <c r="S120" s="1">
        <f>'Raw Data'!T120/Inv_SY!S$2</f>
        <v>0</v>
      </c>
      <c r="T120" s="1">
        <f>'Raw Data'!U120/Inv_SY!T$2</f>
        <v>0</v>
      </c>
      <c r="U120" s="1">
        <f>'Raw Data'!V120/Inv_SY!U$2</f>
        <v>0</v>
      </c>
      <c r="V120" s="1">
        <f>'Raw Data'!W120/Inv_SY!V$2</f>
        <v>0</v>
      </c>
      <c r="W120" s="1">
        <f>'Raw Data'!X120/Inv_SY!W$2</f>
        <v>0</v>
      </c>
      <c r="X120" s="1">
        <f>'Raw Data'!Y120/Inv_SY!X$2</f>
        <v>0</v>
      </c>
      <c r="Y120" s="1" t="str">
        <f t="shared" si="10"/>
        <v/>
      </c>
      <c r="Z120" s="1">
        <f t="shared" si="11"/>
        <v>0</v>
      </c>
    </row>
    <row r="121" spans="1:26" x14ac:dyDescent="0.3">
      <c r="A121" s="236"/>
      <c r="B121" s="236"/>
      <c r="C121" s="236">
        <f>YEAR(Table12[[#This Row],[Date]])</f>
        <v>2025</v>
      </c>
      <c r="D121" s="236"/>
      <c r="E121" s="236"/>
      <c r="F121" s="237" t="str">
        <f>TEXT(Table12[[#This Row],[Date]],"mmm-yy")</f>
        <v>Jul-25</v>
      </c>
      <c r="G121" s="236">
        <f t="shared" si="9"/>
        <v>31</v>
      </c>
      <c r="H121" s="120">
        <f t="shared" si="8"/>
        <v>45862</v>
      </c>
      <c r="I121" s="1">
        <v>8.0208999999999993</v>
      </c>
      <c r="J121" s="1">
        <f>'Raw Data'!K121/Inv_SY!J$2</f>
        <v>0</v>
      </c>
      <c r="K121" s="1">
        <f>'Raw Data'!L121/Inv_SY!K$2</f>
        <v>0</v>
      </c>
      <c r="L121" s="1">
        <f>'Raw Data'!M121/Inv_SY!L$2</f>
        <v>0</v>
      </c>
      <c r="M121" s="1">
        <f>'Raw Data'!N121/Inv_SY!M$2</f>
        <v>0</v>
      </c>
      <c r="N121" s="1">
        <f>'Raw Data'!O121/Inv_SY!N$2</f>
        <v>0</v>
      </c>
      <c r="O121" s="1">
        <f>'Raw Data'!P121/Inv_SY!O$2</f>
        <v>0</v>
      </c>
      <c r="P121" s="1">
        <f>'Raw Data'!Q121/Inv_SY!P$2</f>
        <v>0</v>
      </c>
      <c r="Q121" s="1">
        <f>'Raw Data'!R121/Inv_SY!Q$2</f>
        <v>0</v>
      </c>
      <c r="R121" s="1">
        <f>'Raw Data'!S121/Inv_SY!R$2</f>
        <v>0</v>
      </c>
      <c r="S121" s="1">
        <f>'Raw Data'!T121/Inv_SY!S$2</f>
        <v>0</v>
      </c>
      <c r="T121" s="1">
        <f>'Raw Data'!U121/Inv_SY!T$2</f>
        <v>0</v>
      </c>
      <c r="U121" s="1">
        <f>'Raw Data'!V121/Inv_SY!U$2</f>
        <v>0</v>
      </c>
      <c r="V121" s="1">
        <f>'Raw Data'!W121/Inv_SY!V$2</f>
        <v>0</v>
      </c>
      <c r="W121" s="1">
        <f>'Raw Data'!X121/Inv_SY!W$2</f>
        <v>0</v>
      </c>
      <c r="X121" s="1">
        <f>'Raw Data'!Y121/Inv_SY!X$2</f>
        <v>0</v>
      </c>
      <c r="Y121" s="1" t="str">
        <f t="shared" si="10"/>
        <v/>
      </c>
      <c r="Z121" s="1">
        <f t="shared" si="11"/>
        <v>0</v>
      </c>
    </row>
    <row r="122" spans="1:26" x14ac:dyDescent="0.3">
      <c r="A122" s="236"/>
      <c r="B122" s="236"/>
      <c r="C122" s="236">
        <f>YEAR(Table12[[#This Row],[Date]])</f>
        <v>2025</v>
      </c>
      <c r="D122" s="236"/>
      <c r="E122" s="236"/>
      <c r="F122" s="237" t="str">
        <f>TEXT(Table12[[#This Row],[Date]],"mmm-yy")</f>
        <v>Jul-25</v>
      </c>
      <c r="G122" s="236">
        <f t="shared" si="9"/>
        <v>31</v>
      </c>
      <c r="H122" s="120">
        <f t="shared" si="8"/>
        <v>45863</v>
      </c>
      <c r="I122" s="1">
        <v>8.0208999999999993</v>
      </c>
      <c r="J122" s="1">
        <f>'Raw Data'!K122/Inv_SY!J$2</f>
        <v>0</v>
      </c>
      <c r="K122" s="1">
        <f>'Raw Data'!L122/Inv_SY!K$2</f>
        <v>0</v>
      </c>
      <c r="L122" s="1">
        <f>'Raw Data'!M122/Inv_SY!L$2</f>
        <v>0</v>
      </c>
      <c r="M122" s="1">
        <f>'Raw Data'!N122/Inv_SY!M$2</f>
        <v>0</v>
      </c>
      <c r="N122" s="1">
        <f>'Raw Data'!O122/Inv_SY!N$2</f>
        <v>0</v>
      </c>
      <c r="O122" s="1">
        <f>'Raw Data'!P122/Inv_SY!O$2</f>
        <v>0</v>
      </c>
      <c r="P122" s="1">
        <f>'Raw Data'!Q122/Inv_SY!P$2</f>
        <v>0</v>
      </c>
      <c r="Q122" s="1">
        <f>'Raw Data'!R122/Inv_SY!Q$2</f>
        <v>0</v>
      </c>
      <c r="R122" s="1">
        <f>'Raw Data'!S122/Inv_SY!R$2</f>
        <v>0</v>
      </c>
      <c r="S122" s="1">
        <f>'Raw Data'!T122/Inv_SY!S$2</f>
        <v>0</v>
      </c>
      <c r="T122" s="1">
        <f>'Raw Data'!U122/Inv_SY!T$2</f>
        <v>0</v>
      </c>
      <c r="U122" s="1">
        <f>'Raw Data'!V122/Inv_SY!U$2</f>
        <v>0</v>
      </c>
      <c r="V122" s="1">
        <f>'Raw Data'!W122/Inv_SY!V$2</f>
        <v>0</v>
      </c>
      <c r="W122" s="1">
        <f>'Raw Data'!X122/Inv_SY!W$2</f>
        <v>0</v>
      </c>
      <c r="X122" s="1">
        <f>'Raw Data'!Y122/Inv_SY!X$2</f>
        <v>0</v>
      </c>
      <c r="Y122" s="1" t="str">
        <f t="shared" si="10"/>
        <v/>
      </c>
      <c r="Z122" s="1">
        <f t="shared" si="11"/>
        <v>0</v>
      </c>
    </row>
    <row r="123" spans="1:26" x14ac:dyDescent="0.3">
      <c r="A123" s="236"/>
      <c r="B123" s="236"/>
      <c r="C123" s="236">
        <f>YEAR(Table12[[#This Row],[Date]])</f>
        <v>2025</v>
      </c>
      <c r="D123" s="236"/>
      <c r="E123" s="236"/>
      <c r="F123" s="237" t="str">
        <f>TEXT(Table12[[#This Row],[Date]],"mmm-yy")</f>
        <v>Jul-25</v>
      </c>
      <c r="G123" s="236">
        <f t="shared" si="9"/>
        <v>31</v>
      </c>
      <c r="H123" s="120">
        <f t="shared" si="8"/>
        <v>45864</v>
      </c>
      <c r="I123" s="1">
        <v>8.0208999999999993</v>
      </c>
      <c r="J123" s="1">
        <f>'Raw Data'!K123/Inv_SY!J$2</f>
        <v>0</v>
      </c>
      <c r="K123" s="1">
        <f>'Raw Data'!L123/Inv_SY!K$2</f>
        <v>0</v>
      </c>
      <c r="L123" s="1">
        <f>'Raw Data'!M123/Inv_SY!L$2</f>
        <v>0</v>
      </c>
      <c r="M123" s="1">
        <f>'Raw Data'!N123/Inv_SY!M$2</f>
        <v>0</v>
      </c>
      <c r="N123" s="1">
        <f>'Raw Data'!O123/Inv_SY!N$2</f>
        <v>0</v>
      </c>
      <c r="O123" s="1">
        <f>'Raw Data'!P123/Inv_SY!O$2</f>
        <v>0</v>
      </c>
      <c r="P123" s="1">
        <f>'Raw Data'!Q123/Inv_SY!P$2</f>
        <v>0</v>
      </c>
      <c r="Q123" s="1">
        <f>'Raw Data'!R123/Inv_SY!Q$2</f>
        <v>0</v>
      </c>
      <c r="R123" s="1">
        <f>'Raw Data'!S123/Inv_SY!R$2</f>
        <v>0</v>
      </c>
      <c r="S123" s="1">
        <f>'Raw Data'!T123/Inv_SY!S$2</f>
        <v>0</v>
      </c>
      <c r="T123" s="1">
        <f>'Raw Data'!U123/Inv_SY!T$2</f>
        <v>0</v>
      </c>
      <c r="U123" s="1">
        <f>'Raw Data'!V123/Inv_SY!U$2</f>
        <v>0</v>
      </c>
      <c r="V123" s="1">
        <f>'Raw Data'!W123/Inv_SY!V$2</f>
        <v>0</v>
      </c>
      <c r="W123" s="1">
        <f>'Raw Data'!X123/Inv_SY!W$2</f>
        <v>0</v>
      </c>
      <c r="X123" s="1">
        <f>'Raw Data'!Y123/Inv_SY!X$2</f>
        <v>0</v>
      </c>
      <c r="Y123" s="1" t="str">
        <f t="shared" si="10"/>
        <v/>
      </c>
      <c r="Z123" s="1">
        <f t="shared" si="11"/>
        <v>0</v>
      </c>
    </row>
    <row r="124" spans="1:26" x14ac:dyDescent="0.3">
      <c r="A124" s="236"/>
      <c r="B124" s="236"/>
      <c r="C124" s="236">
        <f>YEAR(Table12[[#This Row],[Date]])</f>
        <v>2025</v>
      </c>
      <c r="D124" s="236"/>
      <c r="E124" s="236"/>
      <c r="F124" s="237" t="str">
        <f>TEXT(Table12[[#This Row],[Date]],"mmm-yy")</f>
        <v>Jul-25</v>
      </c>
      <c r="G124" s="236">
        <f t="shared" si="9"/>
        <v>31</v>
      </c>
      <c r="H124" s="120">
        <f t="shared" si="8"/>
        <v>45865</v>
      </c>
      <c r="I124" s="1">
        <v>8.0208999999999993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0"/>
        <v/>
      </c>
      <c r="Z124" s="1">
        <f t="shared" si="11"/>
        <v>0</v>
      </c>
    </row>
    <row r="125" spans="1:26" x14ac:dyDescent="0.3">
      <c r="A125" s="236"/>
      <c r="B125" s="236"/>
      <c r="C125" s="236">
        <f>YEAR(Table12[[#This Row],[Date]])</f>
        <v>2025</v>
      </c>
      <c r="D125" s="236"/>
      <c r="E125" s="236"/>
      <c r="F125" s="237" t="str">
        <f>TEXT(Table12[[#This Row],[Date]],"mmm-yy")</f>
        <v>Jul-25</v>
      </c>
      <c r="G125" s="236">
        <f t="shared" si="9"/>
        <v>31</v>
      </c>
      <c r="H125" s="120">
        <f t="shared" si="8"/>
        <v>45866</v>
      </c>
      <c r="I125" s="1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0"/>
        <v/>
      </c>
      <c r="Z125" s="1">
        <f t="shared" si="11"/>
        <v>0</v>
      </c>
    </row>
    <row r="126" spans="1:26" x14ac:dyDescent="0.3">
      <c r="A126" s="236"/>
      <c r="B126" s="236"/>
      <c r="C126" s="236">
        <f>YEAR(Table12[[#This Row],[Date]])</f>
        <v>2025</v>
      </c>
      <c r="D126" s="236"/>
      <c r="E126" s="236"/>
      <c r="F126" s="237" t="str">
        <f>TEXT(Table12[[#This Row],[Date]],"mmm-yy")</f>
        <v>Jul-25</v>
      </c>
      <c r="G126" s="236">
        <f t="shared" si="9"/>
        <v>31</v>
      </c>
      <c r="H126" s="120">
        <f t="shared" si="8"/>
        <v>45867</v>
      </c>
      <c r="I126" s="1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0"/>
        <v/>
      </c>
      <c r="Z126" s="1">
        <f t="shared" si="11"/>
        <v>0</v>
      </c>
    </row>
    <row r="127" spans="1:26" x14ac:dyDescent="0.3">
      <c r="A127" s="236"/>
      <c r="B127" s="236"/>
      <c r="C127" s="236">
        <f>YEAR(Table12[[#This Row],[Date]])</f>
        <v>2025</v>
      </c>
      <c r="D127" s="236"/>
      <c r="E127" s="236"/>
      <c r="F127" s="237" t="str">
        <f>TEXT(Table12[[#This Row],[Date]],"mmm-yy")</f>
        <v>Jul-25</v>
      </c>
      <c r="G127" s="236">
        <f t="shared" si="9"/>
        <v>31</v>
      </c>
      <c r="H127" s="120">
        <f t="shared" si="8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0"/>
        <v/>
      </c>
      <c r="Z127" s="1">
        <f t="shared" si="11"/>
        <v>0</v>
      </c>
    </row>
    <row r="128" spans="1:26" x14ac:dyDescent="0.3">
      <c r="A128" s="236"/>
      <c r="B128" s="236"/>
      <c r="C128" s="236">
        <f>YEAR(Table12[[#This Row],[Date]])</f>
        <v>2025</v>
      </c>
      <c r="D128" s="236"/>
      <c r="E128" s="236"/>
      <c r="F128" s="237" t="str">
        <f>TEXT(Table12[[#This Row],[Date]],"mmm-yy")</f>
        <v>Jul-25</v>
      </c>
      <c r="G128" s="236">
        <f t="shared" si="9"/>
        <v>31</v>
      </c>
      <c r="H128" s="120">
        <f t="shared" si="8"/>
        <v>45869</v>
      </c>
      <c r="I128" s="1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0"/>
        <v/>
      </c>
      <c r="Z128" s="1">
        <f t="shared" si="11"/>
        <v>0</v>
      </c>
    </row>
    <row r="129" spans="1:26" x14ac:dyDescent="0.3">
      <c r="A129" s="236"/>
      <c r="B129" s="236"/>
      <c r="C129" s="236">
        <f>YEAR(Table12[[#This Row],[Date]])</f>
        <v>2025</v>
      </c>
      <c r="D129" s="236"/>
      <c r="E129" s="236"/>
      <c r="F129" s="237" t="str">
        <f>TEXT(Table12[[#This Row],[Date]],"mmm-yy")</f>
        <v>Aug-25</v>
      </c>
      <c r="G129" s="236">
        <f t="shared" si="9"/>
        <v>31</v>
      </c>
      <c r="H129" s="120">
        <f t="shared" si="8"/>
        <v>45870</v>
      </c>
      <c r="I129" s="1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0"/>
        <v/>
      </c>
      <c r="Z129" s="1">
        <f t="shared" si="11"/>
        <v>0</v>
      </c>
    </row>
    <row r="130" spans="1:26" x14ac:dyDescent="0.3">
      <c r="A130" s="236"/>
      <c r="B130" s="236"/>
      <c r="C130" s="236">
        <f>YEAR(Table12[[#This Row],[Date]])</f>
        <v>2025</v>
      </c>
      <c r="D130" s="236"/>
      <c r="E130" s="236"/>
      <c r="F130" s="237" t="str">
        <f>TEXT(Table12[[#This Row],[Date]],"mmm-yy")</f>
        <v>Aug-25</v>
      </c>
      <c r="G130" s="236">
        <f t="shared" si="9"/>
        <v>31</v>
      </c>
      <c r="H130" s="120">
        <f t="shared" si="8"/>
        <v>45871</v>
      </c>
      <c r="I130" s="1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0"/>
        <v/>
      </c>
      <c r="Z130" s="1">
        <f t="shared" si="11"/>
        <v>0</v>
      </c>
    </row>
    <row r="131" spans="1:26" x14ac:dyDescent="0.3">
      <c r="A131" s="236"/>
      <c r="B131" s="236"/>
      <c r="C131" s="236">
        <f>YEAR(Table12[[#This Row],[Date]])</f>
        <v>2025</v>
      </c>
      <c r="D131" s="236"/>
      <c r="E131" s="236"/>
      <c r="F131" s="237" t="str">
        <f>TEXT(Table12[[#This Row],[Date]],"mmm-yy")</f>
        <v>Aug-25</v>
      </c>
      <c r="G131" s="236">
        <f t="shared" si="9"/>
        <v>31</v>
      </c>
      <c r="H131" s="120">
        <f t="shared" si="8"/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0"/>
        <v/>
      </c>
      <c r="Z131" s="1">
        <f t="shared" si="11"/>
        <v>0</v>
      </c>
    </row>
    <row r="132" spans="1:26" x14ac:dyDescent="0.3">
      <c r="A132" s="236"/>
      <c r="B132" s="236"/>
      <c r="C132" s="236">
        <f>YEAR(Table12[[#This Row],[Date]])</f>
        <v>2025</v>
      </c>
      <c r="D132" s="236"/>
      <c r="E132" s="236"/>
      <c r="F132" s="237" t="str">
        <f>TEXT(Table12[[#This Row],[Date]],"mmm-yy")</f>
        <v>Aug-25</v>
      </c>
      <c r="G132" s="236">
        <f t="shared" si="9"/>
        <v>31</v>
      </c>
      <c r="H132" s="120">
        <f t="shared" si="8"/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0"/>
        <v/>
      </c>
      <c r="Z132" s="1">
        <f t="shared" si="11"/>
        <v>0</v>
      </c>
    </row>
    <row r="133" spans="1:26" x14ac:dyDescent="0.3">
      <c r="A133" s="236"/>
      <c r="B133" s="236"/>
      <c r="C133" s="236">
        <f>YEAR(Table12[[#This Row],[Date]])</f>
        <v>2025</v>
      </c>
      <c r="D133" s="236"/>
      <c r="E133" s="236"/>
      <c r="F133" s="237" t="str">
        <f>TEXT(Table12[[#This Row],[Date]],"mmm-yy")</f>
        <v>Aug-25</v>
      </c>
      <c r="G133" s="236">
        <f t="shared" si="9"/>
        <v>31</v>
      </c>
      <c r="H133" s="120">
        <f t="shared" ref="H133:H196" si="12">H132+1</f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0"/>
        <v/>
      </c>
      <c r="Z133" s="1">
        <f t="shared" si="11"/>
        <v>0</v>
      </c>
    </row>
    <row r="134" spans="1:26" x14ac:dyDescent="0.3">
      <c r="A134" s="236"/>
      <c r="B134" s="236"/>
      <c r="C134" s="236">
        <f>YEAR(Table12[[#This Row],[Date]])</f>
        <v>2025</v>
      </c>
      <c r="D134" s="236"/>
      <c r="E134" s="236"/>
      <c r="F134" s="237" t="str">
        <f>TEXT(Table12[[#This Row],[Date]],"mmm-yy")</f>
        <v>Aug-25</v>
      </c>
      <c r="G134" s="236">
        <f t="shared" si="9"/>
        <v>31</v>
      </c>
      <c r="H134" s="120">
        <f t="shared" si="12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0"/>
        <v/>
      </c>
      <c r="Z134" s="1">
        <f t="shared" si="11"/>
        <v>0</v>
      </c>
    </row>
    <row r="135" spans="1:26" x14ac:dyDescent="0.3">
      <c r="A135" s="236"/>
      <c r="B135" s="236"/>
      <c r="C135" s="236">
        <f>YEAR(Table12[[#This Row],[Date]])</f>
        <v>2025</v>
      </c>
      <c r="D135" s="236"/>
      <c r="E135" s="236"/>
      <c r="F135" s="237" t="str">
        <f>TEXT(Table12[[#This Row],[Date]],"mmm-yy")</f>
        <v>Aug-25</v>
      </c>
      <c r="G135" s="236">
        <f t="shared" si="9"/>
        <v>31</v>
      </c>
      <c r="H135" s="120">
        <f t="shared" si="12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0"/>
        <v/>
      </c>
      <c r="Z135" s="1">
        <f t="shared" si="11"/>
        <v>0</v>
      </c>
    </row>
    <row r="136" spans="1:26" x14ac:dyDescent="0.3">
      <c r="A136" s="236"/>
      <c r="B136" s="236"/>
      <c r="C136" s="236">
        <f>YEAR(Table12[[#This Row],[Date]])</f>
        <v>2025</v>
      </c>
      <c r="D136" s="236"/>
      <c r="E136" s="236"/>
      <c r="F136" s="237" t="str">
        <f>TEXT(Table12[[#This Row],[Date]],"mmm-yy")</f>
        <v>Aug-25</v>
      </c>
      <c r="G136" s="236">
        <f t="shared" si="9"/>
        <v>31</v>
      </c>
      <c r="H136" s="120">
        <f t="shared" si="12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0"/>
        <v/>
      </c>
      <c r="Z136" s="1">
        <f t="shared" si="11"/>
        <v>0</v>
      </c>
    </row>
    <row r="137" spans="1:26" x14ac:dyDescent="0.3">
      <c r="A137" s="236"/>
      <c r="B137" s="236"/>
      <c r="C137" s="236">
        <f>YEAR(Table12[[#This Row],[Date]])</f>
        <v>2025</v>
      </c>
      <c r="D137" s="236"/>
      <c r="E137" s="236"/>
      <c r="F137" s="237" t="str">
        <f>TEXT(Table12[[#This Row],[Date]],"mmm-yy")</f>
        <v>Aug-25</v>
      </c>
      <c r="G137" s="236">
        <f t="shared" si="9"/>
        <v>31</v>
      </c>
      <c r="H137" s="120">
        <f t="shared" si="12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0"/>
        <v/>
      </c>
      <c r="Z137" s="1">
        <f t="shared" si="11"/>
        <v>0</v>
      </c>
    </row>
    <row r="138" spans="1:26" x14ac:dyDescent="0.3">
      <c r="A138" s="236"/>
      <c r="B138" s="236"/>
      <c r="C138" s="236">
        <f>YEAR(Table12[[#This Row],[Date]])</f>
        <v>2025</v>
      </c>
      <c r="D138" s="236"/>
      <c r="E138" s="236"/>
      <c r="F138" s="237" t="str">
        <f>TEXT(Table12[[#This Row],[Date]],"mmm-yy")</f>
        <v>Aug-25</v>
      </c>
      <c r="G138" s="236">
        <f t="shared" si="9"/>
        <v>31</v>
      </c>
      <c r="H138" s="120">
        <f t="shared" si="12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0"/>
        <v/>
      </c>
      <c r="Z138" s="1">
        <f t="shared" si="11"/>
        <v>0</v>
      </c>
    </row>
    <row r="139" spans="1:26" x14ac:dyDescent="0.3">
      <c r="A139" s="236"/>
      <c r="B139" s="236"/>
      <c r="C139" s="236">
        <f>YEAR(Table12[[#This Row],[Date]])</f>
        <v>2025</v>
      </c>
      <c r="D139" s="236"/>
      <c r="E139" s="236"/>
      <c r="F139" s="237" t="str">
        <f>TEXT(Table12[[#This Row],[Date]],"mmm-yy")</f>
        <v>Aug-25</v>
      </c>
      <c r="G139" s="236">
        <f t="shared" si="9"/>
        <v>31</v>
      </c>
      <c r="H139" s="120">
        <f t="shared" si="12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0"/>
        <v/>
      </c>
      <c r="Z139" s="1">
        <f t="shared" si="11"/>
        <v>0</v>
      </c>
    </row>
    <row r="140" spans="1:26" x14ac:dyDescent="0.3">
      <c r="A140" s="236"/>
      <c r="B140" s="236"/>
      <c r="C140" s="236">
        <f>YEAR(Table12[[#This Row],[Date]])</f>
        <v>2025</v>
      </c>
      <c r="D140" s="236"/>
      <c r="E140" s="236"/>
      <c r="F140" s="237" t="str">
        <f>TEXT(Table12[[#This Row],[Date]],"mmm-yy")</f>
        <v>Aug-25</v>
      </c>
      <c r="G140" s="236">
        <f t="shared" si="9"/>
        <v>31</v>
      </c>
      <c r="H140" s="120">
        <f t="shared" si="12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0"/>
        <v/>
      </c>
      <c r="Z140" s="1">
        <f t="shared" si="11"/>
        <v>0</v>
      </c>
    </row>
    <row r="141" spans="1:26" x14ac:dyDescent="0.3">
      <c r="A141" s="236"/>
      <c r="B141" s="236"/>
      <c r="C141" s="236">
        <f>YEAR(Table12[[#This Row],[Date]])</f>
        <v>2025</v>
      </c>
      <c r="D141" s="236"/>
      <c r="E141" s="236"/>
      <c r="F141" s="237" t="str">
        <f>TEXT(Table12[[#This Row],[Date]],"mmm-yy")</f>
        <v>Aug-25</v>
      </c>
      <c r="G141" s="236">
        <f t="shared" si="9"/>
        <v>31</v>
      </c>
      <c r="H141" s="120">
        <f t="shared" si="12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0"/>
        <v/>
      </c>
      <c r="Z141" s="1">
        <f t="shared" si="11"/>
        <v>0</v>
      </c>
    </row>
    <row r="142" spans="1:26" x14ac:dyDescent="0.3">
      <c r="A142" s="236"/>
      <c r="B142" s="236"/>
      <c r="C142" s="236">
        <f>YEAR(Table12[[#This Row],[Date]])</f>
        <v>2025</v>
      </c>
      <c r="D142" s="236"/>
      <c r="E142" s="236"/>
      <c r="F142" s="237" t="str">
        <f>TEXT(Table12[[#This Row],[Date]],"mmm-yy")</f>
        <v>Aug-25</v>
      </c>
      <c r="G142" s="236">
        <f t="shared" si="9"/>
        <v>31</v>
      </c>
      <c r="H142" s="120">
        <f t="shared" si="12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0"/>
        <v/>
      </c>
      <c r="Z142" s="1">
        <f t="shared" si="11"/>
        <v>0</v>
      </c>
    </row>
    <row r="143" spans="1:26" x14ac:dyDescent="0.3">
      <c r="A143" s="236"/>
      <c r="B143" s="236"/>
      <c r="C143" s="236">
        <f>YEAR(Table12[[#This Row],[Date]])</f>
        <v>2025</v>
      </c>
      <c r="D143" s="236"/>
      <c r="E143" s="236"/>
      <c r="F143" s="237" t="str">
        <f>TEXT(Table12[[#This Row],[Date]],"mmm-yy")</f>
        <v>Aug-25</v>
      </c>
      <c r="G143" s="236">
        <f t="shared" si="9"/>
        <v>31</v>
      </c>
      <c r="H143" s="120">
        <f t="shared" si="12"/>
        <v>45884</v>
      </c>
      <c r="I143" s="1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0"/>
        <v/>
      </c>
      <c r="Z143" s="1">
        <f t="shared" si="11"/>
        <v>0</v>
      </c>
    </row>
    <row r="144" spans="1:26" x14ac:dyDescent="0.3">
      <c r="A144" s="236"/>
      <c r="B144" s="236"/>
      <c r="C144" s="236">
        <f>YEAR(Table12[[#This Row],[Date]])</f>
        <v>2025</v>
      </c>
      <c r="D144" s="236"/>
      <c r="E144" s="236"/>
      <c r="F144" s="237" t="str">
        <f>TEXT(Table12[[#This Row],[Date]],"mmm-yy")</f>
        <v>Aug-25</v>
      </c>
      <c r="G144" s="236">
        <f t="shared" si="9"/>
        <v>31</v>
      </c>
      <c r="H144" s="120">
        <f t="shared" si="12"/>
        <v>45885</v>
      </c>
      <c r="I144" s="1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0"/>
        <v/>
      </c>
      <c r="Z144" s="1">
        <f t="shared" si="11"/>
        <v>0</v>
      </c>
    </row>
    <row r="145" spans="1:26" x14ac:dyDescent="0.3">
      <c r="A145" s="236"/>
      <c r="B145" s="236"/>
      <c r="C145" s="236">
        <f>YEAR(Table12[[#This Row],[Date]])</f>
        <v>2025</v>
      </c>
      <c r="D145" s="236"/>
      <c r="E145" s="236"/>
      <c r="F145" s="237" t="str">
        <f>TEXT(Table12[[#This Row],[Date]],"mmm-yy")</f>
        <v>Aug-25</v>
      </c>
      <c r="G145" s="236">
        <f t="shared" si="9"/>
        <v>31</v>
      </c>
      <c r="H145" s="120">
        <f t="shared" si="12"/>
        <v>45886</v>
      </c>
      <c r="I145" s="1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0"/>
        <v/>
      </c>
      <c r="Z145" s="1">
        <f t="shared" si="11"/>
        <v>0</v>
      </c>
    </row>
    <row r="146" spans="1:26" x14ac:dyDescent="0.3">
      <c r="A146" s="236"/>
      <c r="B146" s="236"/>
      <c r="C146" s="236">
        <f>YEAR(Table12[[#This Row],[Date]])</f>
        <v>2025</v>
      </c>
      <c r="D146" s="236"/>
      <c r="E146" s="236"/>
      <c r="F146" s="237" t="str">
        <f>TEXT(Table12[[#This Row],[Date]],"mmm-yy")</f>
        <v>Aug-25</v>
      </c>
      <c r="G146" s="236">
        <f t="shared" si="9"/>
        <v>31</v>
      </c>
      <c r="H146" s="120">
        <f t="shared" si="12"/>
        <v>45887</v>
      </c>
      <c r="I146" s="1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0"/>
        <v/>
      </c>
      <c r="Z146" s="1">
        <f t="shared" si="11"/>
        <v>0</v>
      </c>
    </row>
    <row r="147" spans="1:26" x14ac:dyDescent="0.3">
      <c r="A147" s="236"/>
      <c r="B147" s="236"/>
      <c r="C147" s="236">
        <f>YEAR(Table12[[#This Row],[Date]])</f>
        <v>2025</v>
      </c>
      <c r="D147" s="236"/>
      <c r="E147" s="236"/>
      <c r="F147" s="237" t="str">
        <f>TEXT(Table12[[#This Row],[Date]],"mmm-yy")</f>
        <v>Aug-25</v>
      </c>
      <c r="G147" s="236">
        <f t="shared" si="9"/>
        <v>31</v>
      </c>
      <c r="H147" s="120">
        <f t="shared" si="12"/>
        <v>45888</v>
      </c>
      <c r="I147" s="1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0"/>
        <v/>
      </c>
      <c r="Z147" s="1">
        <f t="shared" si="11"/>
        <v>0</v>
      </c>
    </row>
    <row r="148" spans="1:26" x14ac:dyDescent="0.3">
      <c r="A148" s="236"/>
      <c r="B148" s="236"/>
      <c r="C148" s="236">
        <f>YEAR(Table12[[#This Row],[Date]])</f>
        <v>2025</v>
      </c>
      <c r="D148" s="236"/>
      <c r="E148" s="236"/>
      <c r="F148" s="237" t="str">
        <f>TEXT(Table12[[#This Row],[Date]],"mmm-yy")</f>
        <v>Aug-25</v>
      </c>
      <c r="G148" s="236">
        <f t="shared" si="9"/>
        <v>31</v>
      </c>
      <c r="H148" s="120">
        <f t="shared" si="12"/>
        <v>45889</v>
      </c>
      <c r="I148" s="1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0"/>
        <v/>
      </c>
      <c r="Z148" s="1">
        <f t="shared" si="11"/>
        <v>0</v>
      </c>
    </row>
    <row r="149" spans="1:26" x14ac:dyDescent="0.3">
      <c r="A149" s="236"/>
      <c r="B149" s="236"/>
      <c r="C149" s="236">
        <f>YEAR(Table12[[#This Row],[Date]])</f>
        <v>2025</v>
      </c>
      <c r="D149" s="236"/>
      <c r="E149" s="236"/>
      <c r="F149" s="237" t="str">
        <f>TEXT(Table12[[#This Row],[Date]],"mmm-yy")</f>
        <v>Aug-25</v>
      </c>
      <c r="G149" s="236">
        <f t="shared" si="9"/>
        <v>31</v>
      </c>
      <c r="H149" s="120">
        <f t="shared" si="12"/>
        <v>45890</v>
      </c>
      <c r="I149" s="1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0"/>
        <v/>
      </c>
      <c r="Z149" s="1">
        <f t="shared" si="11"/>
        <v>0</v>
      </c>
    </row>
    <row r="150" spans="1:26" x14ac:dyDescent="0.3">
      <c r="A150" s="236"/>
      <c r="B150" s="236"/>
      <c r="C150" s="236">
        <f>YEAR(Table12[[#This Row],[Date]])</f>
        <v>2025</v>
      </c>
      <c r="D150" s="236"/>
      <c r="E150" s="236"/>
      <c r="F150" s="237" t="str">
        <f>TEXT(Table12[[#This Row],[Date]],"mmm-yy")</f>
        <v>Aug-25</v>
      </c>
      <c r="G150" s="236">
        <f t="shared" si="9"/>
        <v>31</v>
      </c>
      <c r="H150" s="120">
        <f t="shared" si="12"/>
        <v>45891</v>
      </c>
      <c r="I150" s="1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0"/>
        <v/>
      </c>
      <c r="Z150" s="1">
        <f t="shared" si="11"/>
        <v>0</v>
      </c>
    </row>
    <row r="151" spans="1:26" x14ac:dyDescent="0.3">
      <c r="A151" s="236"/>
      <c r="B151" s="236"/>
      <c r="C151" s="236">
        <f>YEAR(Table12[[#This Row],[Date]])</f>
        <v>2025</v>
      </c>
      <c r="D151" s="236"/>
      <c r="E151" s="236"/>
      <c r="F151" s="237" t="str">
        <f>TEXT(Table12[[#This Row],[Date]],"mmm-yy")</f>
        <v>Aug-25</v>
      </c>
      <c r="G151" s="236">
        <f t="shared" si="9"/>
        <v>31</v>
      </c>
      <c r="H151" s="120">
        <f t="shared" si="12"/>
        <v>45892</v>
      </c>
      <c r="I151" s="1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0"/>
        <v/>
      </c>
      <c r="Z151" s="1">
        <f t="shared" si="11"/>
        <v>0</v>
      </c>
    </row>
    <row r="152" spans="1:26" x14ac:dyDescent="0.3">
      <c r="A152" s="236"/>
      <c r="B152" s="236"/>
      <c r="C152" s="236">
        <f>YEAR(Table12[[#This Row],[Date]])</f>
        <v>2025</v>
      </c>
      <c r="D152" s="236"/>
      <c r="E152" s="236"/>
      <c r="F152" s="237" t="str">
        <f>TEXT(Table12[[#This Row],[Date]],"mmm-yy")</f>
        <v>Aug-25</v>
      </c>
      <c r="G152" s="236">
        <f t="shared" si="9"/>
        <v>31</v>
      </c>
      <c r="H152" s="120">
        <f t="shared" si="12"/>
        <v>45893</v>
      </c>
      <c r="I152" s="1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0"/>
        <v/>
      </c>
      <c r="Z152" s="1">
        <f t="shared" si="11"/>
        <v>0</v>
      </c>
    </row>
    <row r="153" spans="1:26" x14ac:dyDescent="0.3">
      <c r="A153" s="236"/>
      <c r="B153" s="236"/>
      <c r="C153" s="236">
        <f>YEAR(Table12[[#This Row],[Date]])</f>
        <v>2025</v>
      </c>
      <c r="D153" s="236"/>
      <c r="E153" s="236"/>
      <c r="F153" s="237" t="str">
        <f>TEXT(Table12[[#This Row],[Date]],"mmm-yy")</f>
        <v>Aug-25</v>
      </c>
      <c r="G153" s="236">
        <f t="shared" si="9"/>
        <v>31</v>
      </c>
      <c r="H153" s="120">
        <f t="shared" si="12"/>
        <v>45894</v>
      </c>
      <c r="I153" s="1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0"/>
        <v/>
      </c>
      <c r="Z153" s="1">
        <f t="shared" si="11"/>
        <v>0</v>
      </c>
    </row>
    <row r="154" spans="1:26" x14ac:dyDescent="0.3">
      <c r="A154" s="236"/>
      <c r="B154" s="236"/>
      <c r="C154" s="236">
        <f>YEAR(Table12[[#This Row],[Date]])</f>
        <v>2025</v>
      </c>
      <c r="D154" s="236"/>
      <c r="E154" s="236"/>
      <c r="F154" s="237" t="str">
        <f>TEXT(Table12[[#This Row],[Date]],"mmm-yy")</f>
        <v>Aug-25</v>
      </c>
      <c r="G154" s="236">
        <f t="shared" si="9"/>
        <v>31</v>
      </c>
      <c r="H154" s="120">
        <f t="shared" si="12"/>
        <v>45895</v>
      </c>
      <c r="I154" s="1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0"/>
        <v/>
      </c>
      <c r="Z154" s="1">
        <f t="shared" si="11"/>
        <v>0</v>
      </c>
    </row>
    <row r="155" spans="1:26" x14ac:dyDescent="0.3">
      <c r="A155" s="236"/>
      <c r="B155" s="236"/>
      <c r="C155" s="236">
        <f>YEAR(Table12[[#This Row],[Date]])</f>
        <v>2025</v>
      </c>
      <c r="D155" s="236"/>
      <c r="E155" s="236"/>
      <c r="F155" s="237" t="str">
        <f>TEXT(Table12[[#This Row],[Date]],"mmm-yy")</f>
        <v>Aug-25</v>
      </c>
      <c r="G155" s="236">
        <f t="shared" si="9"/>
        <v>31</v>
      </c>
      <c r="H155" s="120">
        <f t="shared" si="12"/>
        <v>45896</v>
      </c>
      <c r="I155" s="1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0"/>
        <v/>
      </c>
      <c r="Z155" s="1">
        <f t="shared" si="11"/>
        <v>0</v>
      </c>
    </row>
    <row r="156" spans="1:26" x14ac:dyDescent="0.3">
      <c r="A156" s="236"/>
      <c r="B156" s="236"/>
      <c r="C156" s="236">
        <f>YEAR(Table12[[#This Row],[Date]])</f>
        <v>2025</v>
      </c>
      <c r="D156" s="236"/>
      <c r="E156" s="236"/>
      <c r="F156" s="237" t="str">
        <f>TEXT(Table12[[#This Row],[Date]],"mmm-yy")</f>
        <v>Aug-25</v>
      </c>
      <c r="G156" s="236">
        <f t="shared" si="9"/>
        <v>31</v>
      </c>
      <c r="H156" s="120">
        <f t="shared" si="12"/>
        <v>45897</v>
      </c>
      <c r="I156" s="1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0"/>
        <v/>
      </c>
      <c r="Z156" s="1">
        <f t="shared" si="11"/>
        <v>0</v>
      </c>
    </row>
    <row r="157" spans="1:26" x14ac:dyDescent="0.3">
      <c r="A157" s="236"/>
      <c r="B157" s="236"/>
      <c r="C157" s="236">
        <f>YEAR(Table12[[#This Row],[Date]])</f>
        <v>2025</v>
      </c>
      <c r="D157" s="236"/>
      <c r="E157" s="236"/>
      <c r="F157" s="237" t="str">
        <f>TEXT(Table12[[#This Row],[Date]],"mmm-yy")</f>
        <v>Aug-25</v>
      </c>
      <c r="G157" s="236">
        <f t="shared" si="9"/>
        <v>31</v>
      </c>
      <c r="H157" s="120">
        <f t="shared" si="12"/>
        <v>45898</v>
      </c>
      <c r="I157" s="1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0"/>
        <v/>
      </c>
      <c r="Z157" s="1">
        <f t="shared" si="11"/>
        <v>0</v>
      </c>
    </row>
    <row r="158" spans="1:26" x14ac:dyDescent="0.3">
      <c r="A158" s="236"/>
      <c r="B158" s="236"/>
      <c r="C158" s="236">
        <f>YEAR(Table12[[#This Row],[Date]])</f>
        <v>2025</v>
      </c>
      <c r="D158" s="236"/>
      <c r="E158" s="236"/>
      <c r="F158" s="237" t="str">
        <f>TEXT(Table12[[#This Row],[Date]],"mmm-yy")</f>
        <v>Aug-25</v>
      </c>
      <c r="G158" s="236">
        <f t="shared" si="9"/>
        <v>31</v>
      </c>
      <c r="H158" s="120">
        <f t="shared" si="12"/>
        <v>45899</v>
      </c>
      <c r="I158" s="1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0"/>
        <v/>
      </c>
      <c r="Z158" s="1">
        <f t="shared" si="11"/>
        <v>0</v>
      </c>
    </row>
    <row r="159" spans="1:26" x14ac:dyDescent="0.3">
      <c r="A159" s="236"/>
      <c r="B159" s="236"/>
      <c r="C159" s="236">
        <f>YEAR(Table12[[#This Row],[Date]])</f>
        <v>2025</v>
      </c>
      <c r="D159" s="236"/>
      <c r="E159" s="236"/>
      <c r="F159" s="237" t="str">
        <f>TEXT(Table12[[#This Row],[Date]],"mmm-yy")</f>
        <v>Aug-25</v>
      </c>
      <c r="G159" s="236">
        <f t="shared" si="9"/>
        <v>31</v>
      </c>
      <c r="H159" s="120">
        <f t="shared" si="12"/>
        <v>45900</v>
      </c>
      <c r="I159" s="1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0"/>
        <v/>
      </c>
      <c r="Z159" s="1">
        <f t="shared" si="11"/>
        <v>0</v>
      </c>
    </row>
    <row r="160" spans="1:26" x14ac:dyDescent="0.3">
      <c r="A160" s="236"/>
      <c r="B160" s="236"/>
      <c r="C160" s="236">
        <f>YEAR(Table12[[#This Row],[Date]])</f>
        <v>2025</v>
      </c>
      <c r="D160" s="236"/>
      <c r="E160" s="236"/>
      <c r="F160" s="237" t="str">
        <f>TEXT(Table12[[#This Row],[Date]],"mmm-yy")</f>
        <v>Sep-25</v>
      </c>
      <c r="G160" s="236">
        <f t="shared" si="9"/>
        <v>30</v>
      </c>
      <c r="H160" s="120">
        <f t="shared" si="12"/>
        <v>45901</v>
      </c>
      <c r="I160" s="1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0"/>
        <v/>
      </c>
      <c r="Z160" s="1">
        <f t="shared" si="11"/>
        <v>0</v>
      </c>
    </row>
    <row r="161" spans="1:26" x14ac:dyDescent="0.3">
      <c r="A161" s="236"/>
      <c r="B161" s="236"/>
      <c r="C161" s="236">
        <f>YEAR(Table12[[#This Row],[Date]])</f>
        <v>2025</v>
      </c>
      <c r="D161" s="236"/>
      <c r="E161" s="236"/>
      <c r="F161" s="237" t="str">
        <f>TEXT(Table12[[#This Row],[Date]],"mmm-yy")</f>
        <v>Sep-25</v>
      </c>
      <c r="G161" s="236">
        <f t="shared" si="9"/>
        <v>30</v>
      </c>
      <c r="H161" s="120">
        <f t="shared" si="12"/>
        <v>45902</v>
      </c>
      <c r="I161" s="1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0"/>
        <v/>
      </c>
      <c r="Z161" s="1">
        <f t="shared" si="11"/>
        <v>0</v>
      </c>
    </row>
    <row r="162" spans="1:26" x14ac:dyDescent="0.3">
      <c r="A162" s="236"/>
      <c r="B162" s="236"/>
      <c r="C162" s="236">
        <f>YEAR(Table12[[#This Row],[Date]])</f>
        <v>2025</v>
      </c>
      <c r="D162" s="236"/>
      <c r="E162" s="236"/>
      <c r="F162" s="237" t="str">
        <f>TEXT(Table12[[#This Row],[Date]],"mmm-yy")</f>
        <v>Sep-25</v>
      </c>
      <c r="G162" s="236">
        <f t="shared" si="9"/>
        <v>30</v>
      </c>
      <c r="H162" s="120">
        <f t="shared" si="12"/>
        <v>45903</v>
      </c>
      <c r="I162" s="1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0"/>
        <v/>
      </c>
      <c r="Z162" s="1">
        <f t="shared" si="11"/>
        <v>0</v>
      </c>
    </row>
    <row r="163" spans="1:26" x14ac:dyDescent="0.3">
      <c r="A163" s="236"/>
      <c r="B163" s="236"/>
      <c r="C163" s="236">
        <f>YEAR(Table12[[#This Row],[Date]])</f>
        <v>2025</v>
      </c>
      <c r="D163" s="236"/>
      <c r="E163" s="236"/>
      <c r="F163" s="237" t="str">
        <f>TEXT(Table12[[#This Row],[Date]],"mmm-yy")</f>
        <v>Sep-25</v>
      </c>
      <c r="G163" s="236">
        <f t="shared" si="9"/>
        <v>30</v>
      </c>
      <c r="H163" s="120">
        <f t="shared" si="12"/>
        <v>45904</v>
      </c>
      <c r="I163" s="1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0"/>
        <v/>
      </c>
      <c r="Z163" s="1">
        <f t="shared" si="11"/>
        <v>0</v>
      </c>
    </row>
    <row r="164" spans="1:26" x14ac:dyDescent="0.3">
      <c r="A164" s="236"/>
      <c r="B164" s="236"/>
      <c r="C164" s="236">
        <f>YEAR(Table12[[#This Row],[Date]])</f>
        <v>2025</v>
      </c>
      <c r="D164" s="236"/>
      <c r="E164" s="236"/>
      <c r="F164" s="237" t="str">
        <f>TEXT(Table12[[#This Row],[Date]],"mmm-yy")</f>
        <v>Sep-25</v>
      </c>
      <c r="G164" s="236">
        <f t="shared" ref="G164:G227" si="13">DAY(EOMONTH(F164,0))</f>
        <v>30</v>
      </c>
      <c r="H164" s="120">
        <f t="shared" si="12"/>
        <v>45905</v>
      </c>
      <c r="I164" s="1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4">IFERROR(AVERAGEIF(V164:X164,"&gt;"&amp;0,V164:X164),"")</f>
        <v/>
      </c>
      <c r="Z164" s="1">
        <f t="shared" ref="Z164:Z227" si="15">MAXA(V164:X164)</f>
        <v>0</v>
      </c>
    </row>
    <row r="165" spans="1:26" x14ac:dyDescent="0.3">
      <c r="A165" s="236"/>
      <c r="B165" s="236"/>
      <c r="C165" s="236">
        <f>YEAR(Table12[[#This Row],[Date]])</f>
        <v>2025</v>
      </c>
      <c r="D165" s="236"/>
      <c r="E165" s="236"/>
      <c r="F165" s="237" t="str">
        <f>TEXT(Table12[[#This Row],[Date]],"mmm-yy")</f>
        <v>Sep-25</v>
      </c>
      <c r="G165" s="236">
        <f t="shared" si="13"/>
        <v>30</v>
      </c>
      <c r="H165" s="120">
        <f t="shared" si="12"/>
        <v>45906</v>
      </c>
      <c r="I165" s="1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4"/>
        <v/>
      </c>
      <c r="Z165" s="1">
        <f t="shared" si="15"/>
        <v>0</v>
      </c>
    </row>
    <row r="166" spans="1:26" x14ac:dyDescent="0.3">
      <c r="A166" s="236"/>
      <c r="B166" s="236"/>
      <c r="C166" s="236">
        <f>YEAR(Table12[[#This Row],[Date]])</f>
        <v>2025</v>
      </c>
      <c r="D166" s="236"/>
      <c r="E166" s="236"/>
      <c r="F166" s="237" t="str">
        <f>TEXT(Table12[[#This Row],[Date]],"mmm-yy")</f>
        <v>Sep-25</v>
      </c>
      <c r="G166" s="236">
        <f t="shared" si="13"/>
        <v>30</v>
      </c>
      <c r="H166" s="120">
        <f t="shared" si="12"/>
        <v>45907</v>
      </c>
      <c r="I166" s="1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4"/>
        <v/>
      </c>
      <c r="Z166" s="1">
        <f t="shared" si="15"/>
        <v>0</v>
      </c>
    </row>
    <row r="167" spans="1:26" x14ac:dyDescent="0.3">
      <c r="A167" s="236"/>
      <c r="B167" s="236"/>
      <c r="C167" s="236">
        <f>YEAR(Table12[[#This Row],[Date]])</f>
        <v>2025</v>
      </c>
      <c r="D167" s="236"/>
      <c r="E167" s="236"/>
      <c r="F167" s="237" t="str">
        <f>TEXT(Table12[[#This Row],[Date]],"mmm-yy")</f>
        <v>Sep-25</v>
      </c>
      <c r="G167" s="236">
        <f t="shared" si="13"/>
        <v>30</v>
      </c>
      <c r="H167" s="120">
        <f t="shared" si="12"/>
        <v>45908</v>
      </c>
      <c r="I167" s="1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4"/>
        <v/>
      </c>
      <c r="Z167" s="1">
        <f t="shared" si="15"/>
        <v>0</v>
      </c>
    </row>
    <row r="168" spans="1:26" x14ac:dyDescent="0.3">
      <c r="A168" s="236"/>
      <c r="B168" s="236"/>
      <c r="C168" s="236">
        <f>YEAR(Table12[[#This Row],[Date]])</f>
        <v>2025</v>
      </c>
      <c r="D168" s="236"/>
      <c r="E168" s="236"/>
      <c r="F168" s="237" t="str">
        <f>TEXT(Table12[[#This Row],[Date]],"mmm-yy")</f>
        <v>Sep-25</v>
      </c>
      <c r="G168" s="236">
        <f t="shared" si="13"/>
        <v>30</v>
      </c>
      <c r="H168" s="120">
        <f t="shared" si="12"/>
        <v>45909</v>
      </c>
      <c r="I168" s="1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4"/>
        <v/>
      </c>
      <c r="Z168" s="1">
        <f t="shared" si="15"/>
        <v>0</v>
      </c>
    </row>
    <row r="169" spans="1:26" x14ac:dyDescent="0.3">
      <c r="A169" s="236"/>
      <c r="B169" s="236"/>
      <c r="C169" s="236">
        <f>YEAR(Table12[[#This Row],[Date]])</f>
        <v>2025</v>
      </c>
      <c r="D169" s="236"/>
      <c r="E169" s="236"/>
      <c r="F169" s="237" t="str">
        <f>TEXT(Table12[[#This Row],[Date]],"mmm-yy")</f>
        <v>Sep-25</v>
      </c>
      <c r="G169" s="236">
        <f t="shared" si="13"/>
        <v>30</v>
      </c>
      <c r="H169" s="120">
        <f t="shared" si="12"/>
        <v>45910</v>
      </c>
      <c r="I169" s="1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4"/>
        <v/>
      </c>
      <c r="Z169" s="1">
        <f t="shared" si="15"/>
        <v>0</v>
      </c>
    </row>
    <row r="170" spans="1:26" x14ac:dyDescent="0.3">
      <c r="A170" s="236"/>
      <c r="B170" s="236"/>
      <c r="C170" s="236">
        <f>YEAR(Table12[[#This Row],[Date]])</f>
        <v>2025</v>
      </c>
      <c r="D170" s="236"/>
      <c r="E170" s="236"/>
      <c r="F170" s="237" t="str">
        <f>TEXT(Table12[[#This Row],[Date]],"mmm-yy")</f>
        <v>Sep-25</v>
      </c>
      <c r="G170" s="236">
        <f t="shared" si="13"/>
        <v>30</v>
      </c>
      <c r="H170" s="120">
        <f t="shared" si="12"/>
        <v>45911</v>
      </c>
      <c r="I170" s="1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4"/>
        <v/>
      </c>
      <c r="Z170" s="1">
        <f t="shared" si="15"/>
        <v>0</v>
      </c>
    </row>
    <row r="171" spans="1:26" x14ac:dyDescent="0.3">
      <c r="A171" s="236"/>
      <c r="B171" s="236"/>
      <c r="C171" s="236">
        <f>YEAR(Table12[[#This Row],[Date]])</f>
        <v>2025</v>
      </c>
      <c r="D171" s="236"/>
      <c r="E171" s="236"/>
      <c r="F171" s="237" t="str">
        <f>TEXT(Table12[[#This Row],[Date]],"mmm-yy")</f>
        <v>Sep-25</v>
      </c>
      <c r="G171" s="236">
        <f t="shared" si="13"/>
        <v>30</v>
      </c>
      <c r="H171" s="120">
        <f t="shared" si="12"/>
        <v>45912</v>
      </c>
      <c r="I171" s="1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4"/>
        <v/>
      </c>
      <c r="Z171" s="1">
        <f t="shared" si="15"/>
        <v>0</v>
      </c>
    </row>
    <row r="172" spans="1:26" x14ac:dyDescent="0.3">
      <c r="A172" s="236"/>
      <c r="B172" s="236"/>
      <c r="C172" s="236">
        <f>YEAR(Table12[[#This Row],[Date]])</f>
        <v>2025</v>
      </c>
      <c r="D172" s="236"/>
      <c r="E172" s="236"/>
      <c r="F172" s="237" t="str">
        <f>TEXT(Table12[[#This Row],[Date]],"mmm-yy")</f>
        <v>Sep-25</v>
      </c>
      <c r="G172" s="236">
        <f t="shared" si="13"/>
        <v>30</v>
      </c>
      <c r="H172" s="120">
        <f t="shared" si="12"/>
        <v>45913</v>
      </c>
      <c r="I172" s="1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4"/>
        <v/>
      </c>
      <c r="Z172" s="1">
        <f t="shared" si="15"/>
        <v>0</v>
      </c>
    </row>
    <row r="173" spans="1:26" x14ac:dyDescent="0.3">
      <c r="A173" s="236"/>
      <c r="B173" s="236"/>
      <c r="C173" s="236">
        <f>YEAR(Table12[[#This Row],[Date]])</f>
        <v>2025</v>
      </c>
      <c r="D173" s="236"/>
      <c r="E173" s="236"/>
      <c r="F173" s="237" t="str">
        <f>TEXT(Table12[[#This Row],[Date]],"mmm-yy")</f>
        <v>Sep-25</v>
      </c>
      <c r="G173" s="236">
        <f t="shared" si="13"/>
        <v>30</v>
      </c>
      <c r="H173" s="120">
        <f t="shared" si="12"/>
        <v>45914</v>
      </c>
      <c r="I173" s="1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4"/>
        <v/>
      </c>
      <c r="Z173" s="1">
        <f t="shared" si="15"/>
        <v>0</v>
      </c>
    </row>
    <row r="174" spans="1:26" x14ac:dyDescent="0.3">
      <c r="A174" s="236"/>
      <c r="B174" s="236"/>
      <c r="C174" s="236">
        <f>YEAR(Table12[[#This Row],[Date]])</f>
        <v>2025</v>
      </c>
      <c r="D174" s="236"/>
      <c r="E174" s="236"/>
      <c r="F174" s="237" t="str">
        <f>TEXT(Table12[[#This Row],[Date]],"mmm-yy")</f>
        <v>Sep-25</v>
      </c>
      <c r="G174" s="236">
        <f t="shared" si="13"/>
        <v>30</v>
      </c>
      <c r="H174" s="120">
        <f t="shared" si="12"/>
        <v>45915</v>
      </c>
      <c r="I174" s="1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4"/>
        <v/>
      </c>
      <c r="Z174" s="1">
        <f t="shared" si="15"/>
        <v>0</v>
      </c>
    </row>
    <row r="175" spans="1:26" x14ac:dyDescent="0.3">
      <c r="A175" s="236"/>
      <c r="B175" s="236"/>
      <c r="C175" s="236">
        <f>YEAR(Table12[[#This Row],[Date]])</f>
        <v>2025</v>
      </c>
      <c r="D175" s="236"/>
      <c r="E175" s="236"/>
      <c r="F175" s="237" t="str">
        <f>TEXT(Table12[[#This Row],[Date]],"mmm-yy")</f>
        <v>Sep-25</v>
      </c>
      <c r="G175" s="236">
        <f t="shared" si="13"/>
        <v>30</v>
      </c>
      <c r="H175" s="120">
        <f t="shared" si="12"/>
        <v>45916</v>
      </c>
      <c r="I175" s="1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4"/>
        <v/>
      </c>
      <c r="Z175" s="1">
        <f t="shared" si="15"/>
        <v>0</v>
      </c>
    </row>
    <row r="176" spans="1:26" x14ac:dyDescent="0.3">
      <c r="A176" s="236"/>
      <c r="B176" s="236"/>
      <c r="C176" s="236">
        <f>YEAR(Table12[[#This Row],[Date]])</f>
        <v>2025</v>
      </c>
      <c r="D176" s="236"/>
      <c r="E176" s="236"/>
      <c r="F176" s="237" t="str">
        <f>TEXT(Table12[[#This Row],[Date]],"mmm-yy")</f>
        <v>Sep-25</v>
      </c>
      <c r="G176" s="236">
        <f t="shared" si="13"/>
        <v>30</v>
      </c>
      <c r="H176" s="120">
        <f t="shared" si="12"/>
        <v>45917</v>
      </c>
      <c r="I176" s="1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4"/>
        <v/>
      </c>
      <c r="Z176" s="1">
        <f t="shared" si="15"/>
        <v>0</v>
      </c>
    </row>
    <row r="177" spans="1:26" x14ac:dyDescent="0.3">
      <c r="A177" s="236"/>
      <c r="B177" s="236"/>
      <c r="C177" s="236">
        <f>YEAR(Table12[[#This Row],[Date]])</f>
        <v>2025</v>
      </c>
      <c r="D177" s="236"/>
      <c r="E177" s="236"/>
      <c r="F177" s="237" t="str">
        <f>TEXT(Table12[[#This Row],[Date]],"mmm-yy")</f>
        <v>Sep-25</v>
      </c>
      <c r="G177" s="236">
        <f t="shared" si="13"/>
        <v>30</v>
      </c>
      <c r="H177" s="120">
        <f t="shared" si="12"/>
        <v>45918</v>
      </c>
      <c r="I177" s="1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4"/>
        <v/>
      </c>
      <c r="Z177" s="1">
        <f t="shared" si="15"/>
        <v>0</v>
      </c>
    </row>
    <row r="178" spans="1:26" x14ac:dyDescent="0.3">
      <c r="A178" s="236"/>
      <c r="B178" s="236"/>
      <c r="C178" s="236">
        <f>YEAR(Table12[[#This Row],[Date]])</f>
        <v>2025</v>
      </c>
      <c r="D178" s="236"/>
      <c r="E178" s="236"/>
      <c r="F178" s="237" t="str">
        <f>TEXT(Table12[[#This Row],[Date]],"mmm-yy")</f>
        <v>Sep-25</v>
      </c>
      <c r="G178" s="236">
        <f t="shared" si="13"/>
        <v>30</v>
      </c>
      <c r="H178" s="120">
        <f t="shared" si="12"/>
        <v>45919</v>
      </c>
      <c r="I178" s="1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4"/>
        <v/>
      </c>
      <c r="Z178" s="1">
        <f t="shared" si="15"/>
        <v>0</v>
      </c>
    </row>
    <row r="179" spans="1:26" x14ac:dyDescent="0.3">
      <c r="A179" s="236"/>
      <c r="B179" s="236"/>
      <c r="C179" s="236">
        <f>YEAR(Table12[[#This Row],[Date]])</f>
        <v>2025</v>
      </c>
      <c r="D179" s="236"/>
      <c r="E179" s="236"/>
      <c r="F179" s="237" t="str">
        <f>TEXT(Table12[[#This Row],[Date]],"mmm-yy")</f>
        <v>Sep-25</v>
      </c>
      <c r="G179" s="236">
        <f t="shared" si="13"/>
        <v>30</v>
      </c>
      <c r="H179" s="120">
        <f t="shared" si="12"/>
        <v>45920</v>
      </c>
      <c r="I179" s="1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4"/>
        <v/>
      </c>
      <c r="Z179" s="1">
        <f t="shared" si="15"/>
        <v>0</v>
      </c>
    </row>
    <row r="180" spans="1:26" x14ac:dyDescent="0.3">
      <c r="A180" s="236"/>
      <c r="B180" s="236"/>
      <c r="C180" s="236">
        <f>YEAR(Table12[[#This Row],[Date]])</f>
        <v>2025</v>
      </c>
      <c r="D180" s="236"/>
      <c r="E180" s="236"/>
      <c r="F180" s="237" t="str">
        <f>TEXT(Table12[[#This Row],[Date]],"mmm-yy")</f>
        <v>Sep-25</v>
      </c>
      <c r="G180" s="236">
        <f t="shared" si="13"/>
        <v>30</v>
      </c>
      <c r="H180" s="120">
        <f t="shared" si="12"/>
        <v>45921</v>
      </c>
      <c r="I180" s="1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4"/>
        <v/>
      </c>
      <c r="Z180" s="1">
        <f t="shared" si="15"/>
        <v>0</v>
      </c>
    </row>
    <row r="181" spans="1:26" x14ac:dyDescent="0.3">
      <c r="A181" s="236"/>
      <c r="B181" s="236"/>
      <c r="C181" s="236">
        <f>YEAR(Table12[[#This Row],[Date]])</f>
        <v>2025</v>
      </c>
      <c r="D181" s="236"/>
      <c r="E181" s="236"/>
      <c r="F181" s="237" t="str">
        <f>TEXT(Table12[[#This Row],[Date]],"mmm-yy")</f>
        <v>Sep-25</v>
      </c>
      <c r="G181" s="236">
        <f t="shared" si="13"/>
        <v>30</v>
      </c>
      <c r="H181" s="120">
        <f t="shared" si="12"/>
        <v>45922</v>
      </c>
      <c r="I181" s="1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4"/>
        <v/>
      </c>
      <c r="Z181" s="1">
        <f t="shared" si="15"/>
        <v>0</v>
      </c>
    </row>
    <row r="182" spans="1:26" x14ac:dyDescent="0.3">
      <c r="A182" s="236"/>
      <c r="B182" s="236"/>
      <c r="C182" s="236">
        <f>YEAR(Table12[[#This Row],[Date]])</f>
        <v>2025</v>
      </c>
      <c r="D182" s="236"/>
      <c r="E182" s="236"/>
      <c r="F182" s="237" t="str">
        <f>TEXT(Table12[[#This Row],[Date]],"mmm-yy")</f>
        <v>Sep-25</v>
      </c>
      <c r="G182" s="236">
        <f t="shared" si="13"/>
        <v>30</v>
      </c>
      <c r="H182" s="120">
        <f t="shared" si="12"/>
        <v>45923</v>
      </c>
      <c r="I182" s="1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4"/>
        <v/>
      </c>
      <c r="Z182" s="1">
        <f t="shared" si="15"/>
        <v>0</v>
      </c>
    </row>
    <row r="183" spans="1:26" x14ac:dyDescent="0.3">
      <c r="A183" s="236"/>
      <c r="B183" s="236"/>
      <c r="C183" s="236">
        <f>YEAR(Table12[[#This Row],[Date]])</f>
        <v>2025</v>
      </c>
      <c r="D183" s="236"/>
      <c r="E183" s="236"/>
      <c r="F183" s="237" t="str">
        <f>TEXT(Table12[[#This Row],[Date]],"mmm-yy")</f>
        <v>Sep-25</v>
      </c>
      <c r="G183" s="236">
        <f t="shared" si="13"/>
        <v>30</v>
      </c>
      <c r="H183" s="120">
        <f t="shared" si="12"/>
        <v>45924</v>
      </c>
      <c r="I183" s="1">
        <v>8.0208999999999993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4"/>
        <v/>
      </c>
      <c r="Z183" s="1">
        <f t="shared" si="15"/>
        <v>0</v>
      </c>
    </row>
    <row r="184" spans="1:26" x14ac:dyDescent="0.3">
      <c r="A184" s="236"/>
      <c r="B184" s="236"/>
      <c r="C184" s="236">
        <f>YEAR(Table12[[#This Row],[Date]])</f>
        <v>2025</v>
      </c>
      <c r="D184" s="236"/>
      <c r="E184" s="236"/>
      <c r="F184" s="237" t="str">
        <f>TEXT(Table12[[#This Row],[Date]],"mmm-yy")</f>
        <v>Sep-25</v>
      </c>
      <c r="G184" s="236">
        <f t="shared" si="13"/>
        <v>30</v>
      </c>
      <c r="H184" s="120">
        <f t="shared" si="12"/>
        <v>45925</v>
      </c>
      <c r="I184" s="1">
        <v>8.0208999999999993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4"/>
        <v/>
      </c>
      <c r="Z184" s="1">
        <f t="shared" si="15"/>
        <v>0</v>
      </c>
    </row>
    <row r="185" spans="1:26" x14ac:dyDescent="0.3">
      <c r="A185" s="236"/>
      <c r="B185" s="236"/>
      <c r="C185" s="236">
        <f>YEAR(Table12[[#This Row],[Date]])</f>
        <v>2025</v>
      </c>
      <c r="D185" s="236"/>
      <c r="E185" s="236"/>
      <c r="F185" s="237" t="str">
        <f>TEXT(Table12[[#This Row],[Date]],"mmm-yy")</f>
        <v>Sep-25</v>
      </c>
      <c r="G185" s="236">
        <f t="shared" si="13"/>
        <v>30</v>
      </c>
      <c r="H185" s="120">
        <f t="shared" si="12"/>
        <v>45926</v>
      </c>
      <c r="I185" s="1">
        <v>8.0208999999999993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4"/>
        <v/>
      </c>
      <c r="Z185" s="1">
        <f t="shared" si="15"/>
        <v>0</v>
      </c>
    </row>
    <row r="186" spans="1:26" x14ac:dyDescent="0.3">
      <c r="A186" s="236"/>
      <c r="B186" s="236"/>
      <c r="C186" s="236">
        <f>YEAR(Table12[[#This Row],[Date]])</f>
        <v>2025</v>
      </c>
      <c r="D186" s="236"/>
      <c r="E186" s="236"/>
      <c r="F186" s="237" t="str">
        <f>TEXT(Table12[[#This Row],[Date]],"mmm-yy")</f>
        <v>Sep-25</v>
      </c>
      <c r="G186" s="236">
        <f t="shared" si="13"/>
        <v>30</v>
      </c>
      <c r="H186" s="120">
        <f t="shared" si="12"/>
        <v>45927</v>
      </c>
      <c r="I186" s="1">
        <v>8.0208999999999993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4"/>
        <v/>
      </c>
      <c r="Z186" s="1">
        <f t="shared" si="15"/>
        <v>0</v>
      </c>
    </row>
    <row r="187" spans="1:26" x14ac:dyDescent="0.3">
      <c r="A187" s="236"/>
      <c r="B187" s="236"/>
      <c r="C187" s="236">
        <f>YEAR(Table12[[#This Row],[Date]])</f>
        <v>2025</v>
      </c>
      <c r="D187" s="236"/>
      <c r="E187" s="236"/>
      <c r="F187" s="237" t="str">
        <f>TEXT(Table12[[#This Row],[Date]],"mmm-yy")</f>
        <v>Sep-25</v>
      </c>
      <c r="G187" s="236">
        <f t="shared" si="13"/>
        <v>30</v>
      </c>
      <c r="H187" s="120">
        <f t="shared" si="12"/>
        <v>45928</v>
      </c>
      <c r="I187" s="1">
        <v>8.0208999999999993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4"/>
        <v/>
      </c>
      <c r="Z187" s="1">
        <f t="shared" si="15"/>
        <v>0</v>
      </c>
    </row>
    <row r="188" spans="1:26" x14ac:dyDescent="0.3">
      <c r="A188" s="236"/>
      <c r="B188" s="236"/>
      <c r="C188" s="236">
        <f>YEAR(Table12[[#This Row],[Date]])</f>
        <v>2025</v>
      </c>
      <c r="D188" s="236"/>
      <c r="E188" s="236"/>
      <c r="F188" s="237" t="str">
        <f>TEXT(Table12[[#This Row],[Date]],"mmm-yy")</f>
        <v>Sep-25</v>
      </c>
      <c r="G188" s="236">
        <f t="shared" si="13"/>
        <v>30</v>
      </c>
      <c r="H188" s="120">
        <f t="shared" si="12"/>
        <v>45929</v>
      </c>
      <c r="I188" s="1">
        <v>8.0208999999999993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4"/>
        <v/>
      </c>
      <c r="Z188" s="1">
        <f t="shared" si="15"/>
        <v>0</v>
      </c>
    </row>
    <row r="189" spans="1:26" x14ac:dyDescent="0.3">
      <c r="A189" s="236"/>
      <c r="B189" s="236"/>
      <c r="C189" s="236">
        <f>YEAR(Table12[[#This Row],[Date]])</f>
        <v>2025</v>
      </c>
      <c r="D189" s="236"/>
      <c r="E189" s="236"/>
      <c r="F189" s="237" t="str">
        <f>TEXT(Table12[[#This Row],[Date]],"mmm-yy")</f>
        <v>Sep-25</v>
      </c>
      <c r="G189" s="236">
        <f t="shared" si="13"/>
        <v>30</v>
      </c>
      <c r="H189" s="120">
        <f t="shared" si="12"/>
        <v>45930</v>
      </c>
      <c r="I189" s="1">
        <v>8.0208999999999993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4"/>
        <v/>
      </c>
      <c r="Z189" s="1">
        <f t="shared" si="15"/>
        <v>0</v>
      </c>
    </row>
    <row r="190" spans="1:26" x14ac:dyDescent="0.3">
      <c r="A190" s="236"/>
      <c r="B190" s="236"/>
      <c r="C190" s="236">
        <f>YEAR(Table12[[#This Row],[Date]])</f>
        <v>2025</v>
      </c>
      <c r="D190" s="236"/>
      <c r="E190" s="236"/>
      <c r="F190" s="237" t="str">
        <f>TEXT(Table12[[#This Row],[Date]],"mmm-yy")</f>
        <v>Oct-25</v>
      </c>
      <c r="G190" s="236">
        <f t="shared" si="13"/>
        <v>31</v>
      </c>
      <c r="H190" s="120">
        <f t="shared" si="12"/>
        <v>45931</v>
      </c>
      <c r="I190" s="1">
        <v>8.0208999999999993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4"/>
        <v/>
      </c>
      <c r="Z190" s="1">
        <f t="shared" si="15"/>
        <v>0</v>
      </c>
    </row>
    <row r="191" spans="1:26" x14ac:dyDescent="0.3">
      <c r="A191" s="236"/>
      <c r="B191" s="236"/>
      <c r="C191" s="236">
        <f>YEAR(Table12[[#This Row],[Date]])</f>
        <v>2025</v>
      </c>
      <c r="D191" s="236"/>
      <c r="E191" s="236"/>
      <c r="F191" s="237" t="str">
        <f>TEXT(Table12[[#This Row],[Date]],"mmm-yy")</f>
        <v>Oct-25</v>
      </c>
      <c r="G191" s="236">
        <f t="shared" si="13"/>
        <v>31</v>
      </c>
      <c r="H191" s="120">
        <f t="shared" si="12"/>
        <v>45932</v>
      </c>
      <c r="I191" s="1">
        <v>8.0208999999999993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4"/>
        <v/>
      </c>
      <c r="Z191" s="1">
        <f t="shared" si="15"/>
        <v>0</v>
      </c>
    </row>
    <row r="192" spans="1:26" x14ac:dyDescent="0.3">
      <c r="A192" s="236"/>
      <c r="B192" s="236"/>
      <c r="C192" s="236">
        <f>YEAR(Table12[[#This Row],[Date]])</f>
        <v>2025</v>
      </c>
      <c r="D192" s="236"/>
      <c r="E192" s="236"/>
      <c r="F192" s="237" t="str">
        <f>TEXT(Table12[[#This Row],[Date]],"mmm-yy")</f>
        <v>Oct-25</v>
      </c>
      <c r="G192" s="236">
        <f t="shared" si="13"/>
        <v>31</v>
      </c>
      <c r="H192" s="120">
        <f t="shared" si="12"/>
        <v>45933</v>
      </c>
      <c r="I192" s="1">
        <v>8.0208999999999993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4"/>
        <v/>
      </c>
      <c r="Z192" s="1">
        <f t="shared" si="15"/>
        <v>0</v>
      </c>
    </row>
    <row r="193" spans="1:26" x14ac:dyDescent="0.3">
      <c r="A193" s="236"/>
      <c r="B193" s="236"/>
      <c r="C193" s="236">
        <f>YEAR(Table12[[#This Row],[Date]])</f>
        <v>2025</v>
      </c>
      <c r="D193" s="236"/>
      <c r="E193" s="236"/>
      <c r="F193" s="237" t="str">
        <f>TEXT(Table12[[#This Row],[Date]],"mmm-yy")</f>
        <v>Oct-25</v>
      </c>
      <c r="G193" s="236">
        <f t="shared" si="13"/>
        <v>31</v>
      </c>
      <c r="H193" s="120">
        <f t="shared" si="12"/>
        <v>45934</v>
      </c>
      <c r="I193" s="1">
        <v>8.0208999999999993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4"/>
        <v/>
      </c>
      <c r="Z193" s="1">
        <f t="shared" si="15"/>
        <v>0</v>
      </c>
    </row>
    <row r="194" spans="1:26" x14ac:dyDescent="0.3">
      <c r="A194" s="236"/>
      <c r="B194" s="236"/>
      <c r="C194" s="236">
        <f>YEAR(Table12[[#This Row],[Date]])</f>
        <v>2025</v>
      </c>
      <c r="D194" s="236"/>
      <c r="E194" s="236"/>
      <c r="F194" s="237" t="str">
        <f>TEXT(Table12[[#This Row],[Date]],"mmm-yy")</f>
        <v>Oct-25</v>
      </c>
      <c r="G194" s="236">
        <f t="shared" si="13"/>
        <v>31</v>
      </c>
      <c r="H194" s="120">
        <f t="shared" si="12"/>
        <v>45935</v>
      </c>
      <c r="I194" s="1">
        <v>8.0208999999999993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4"/>
        <v/>
      </c>
      <c r="Z194" s="1">
        <f t="shared" si="15"/>
        <v>0</v>
      </c>
    </row>
    <row r="195" spans="1:26" x14ac:dyDescent="0.3">
      <c r="A195" s="236"/>
      <c r="B195" s="236"/>
      <c r="C195" s="236">
        <f>YEAR(Table12[[#This Row],[Date]])</f>
        <v>2025</v>
      </c>
      <c r="D195" s="236"/>
      <c r="E195" s="236"/>
      <c r="F195" s="237" t="str">
        <f>TEXT(Table12[[#This Row],[Date]],"mmm-yy")</f>
        <v>Oct-25</v>
      </c>
      <c r="G195" s="236">
        <f t="shared" si="13"/>
        <v>31</v>
      </c>
      <c r="H195" s="120">
        <f t="shared" si="12"/>
        <v>45936</v>
      </c>
      <c r="I195" s="1">
        <v>8.0208999999999993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4"/>
        <v/>
      </c>
      <c r="Z195" s="1">
        <f t="shared" si="15"/>
        <v>0</v>
      </c>
    </row>
    <row r="196" spans="1:26" x14ac:dyDescent="0.3">
      <c r="A196" s="236"/>
      <c r="B196" s="236"/>
      <c r="C196" s="236">
        <f>YEAR(Table12[[#This Row],[Date]])</f>
        <v>2025</v>
      </c>
      <c r="D196" s="236"/>
      <c r="E196" s="236"/>
      <c r="F196" s="237" t="str">
        <f>TEXT(Table12[[#This Row],[Date]],"mmm-yy")</f>
        <v>Oct-25</v>
      </c>
      <c r="G196" s="236">
        <f t="shared" si="13"/>
        <v>31</v>
      </c>
      <c r="H196" s="120">
        <f t="shared" si="12"/>
        <v>45937</v>
      </c>
      <c r="I196" s="1">
        <v>8.0208999999999993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4"/>
        <v/>
      </c>
      <c r="Z196" s="1">
        <f t="shared" si="15"/>
        <v>0</v>
      </c>
    </row>
    <row r="197" spans="1:26" x14ac:dyDescent="0.3">
      <c r="A197" s="236"/>
      <c r="B197" s="236"/>
      <c r="C197" s="236">
        <f>YEAR(Table12[[#This Row],[Date]])</f>
        <v>2025</v>
      </c>
      <c r="D197" s="236"/>
      <c r="E197" s="236"/>
      <c r="F197" s="237" t="str">
        <f>TEXT(Table12[[#This Row],[Date]],"mmm-yy")</f>
        <v>Oct-25</v>
      </c>
      <c r="G197" s="236">
        <f t="shared" si="13"/>
        <v>31</v>
      </c>
      <c r="H197" s="120">
        <f t="shared" ref="H197:H260" si="16">H196+1</f>
        <v>45938</v>
      </c>
      <c r="I197" s="1">
        <v>8.0208999999999993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4"/>
        <v/>
      </c>
      <c r="Z197" s="1">
        <f t="shared" si="15"/>
        <v>0</v>
      </c>
    </row>
    <row r="198" spans="1:26" x14ac:dyDescent="0.3">
      <c r="A198" s="236"/>
      <c r="B198" s="236"/>
      <c r="C198" s="236">
        <f>YEAR(Table12[[#This Row],[Date]])</f>
        <v>2025</v>
      </c>
      <c r="D198" s="236"/>
      <c r="E198" s="236"/>
      <c r="F198" s="237" t="str">
        <f>TEXT(Table12[[#This Row],[Date]],"mmm-yy")</f>
        <v>Oct-25</v>
      </c>
      <c r="G198" s="236">
        <f t="shared" si="13"/>
        <v>31</v>
      </c>
      <c r="H198" s="120">
        <f t="shared" si="16"/>
        <v>45939</v>
      </c>
      <c r="I198" s="1">
        <v>8.0208999999999993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4"/>
        <v/>
      </c>
      <c r="Z198" s="1">
        <f t="shared" si="15"/>
        <v>0</v>
      </c>
    </row>
    <row r="199" spans="1:26" x14ac:dyDescent="0.3">
      <c r="A199" s="236"/>
      <c r="B199" s="236"/>
      <c r="C199" s="236">
        <f>YEAR(Table12[[#This Row],[Date]])</f>
        <v>2025</v>
      </c>
      <c r="D199" s="236"/>
      <c r="E199" s="236"/>
      <c r="F199" s="237" t="str">
        <f>TEXT(Table12[[#This Row],[Date]],"mmm-yy")</f>
        <v>Oct-25</v>
      </c>
      <c r="G199" s="236">
        <f t="shared" si="13"/>
        <v>31</v>
      </c>
      <c r="H199" s="120">
        <f t="shared" si="16"/>
        <v>45940</v>
      </c>
      <c r="I199" s="1">
        <v>8.0208999999999993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4"/>
        <v/>
      </c>
      <c r="Z199" s="1">
        <f t="shared" si="15"/>
        <v>0</v>
      </c>
    </row>
    <row r="200" spans="1:26" x14ac:dyDescent="0.3">
      <c r="A200" s="236"/>
      <c r="B200" s="236"/>
      <c r="C200" s="236">
        <f>YEAR(Table12[[#This Row],[Date]])</f>
        <v>2025</v>
      </c>
      <c r="D200" s="236"/>
      <c r="E200" s="236"/>
      <c r="F200" s="237" t="str">
        <f>TEXT(Table12[[#This Row],[Date]],"mmm-yy")</f>
        <v>Oct-25</v>
      </c>
      <c r="G200" s="236">
        <f t="shared" si="13"/>
        <v>31</v>
      </c>
      <c r="H200" s="120">
        <f t="shared" si="16"/>
        <v>45941</v>
      </c>
      <c r="I200" s="1">
        <v>8.0208999999999993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4"/>
        <v/>
      </c>
      <c r="Z200" s="1">
        <f t="shared" si="15"/>
        <v>0</v>
      </c>
    </row>
    <row r="201" spans="1:26" x14ac:dyDescent="0.3">
      <c r="A201" s="236"/>
      <c r="B201" s="236"/>
      <c r="C201" s="236">
        <f>YEAR(Table12[[#This Row],[Date]])</f>
        <v>2025</v>
      </c>
      <c r="D201" s="236"/>
      <c r="E201" s="236"/>
      <c r="F201" s="237" t="str">
        <f>TEXT(Table12[[#This Row],[Date]],"mmm-yy")</f>
        <v>Oct-25</v>
      </c>
      <c r="G201" s="236">
        <f t="shared" si="13"/>
        <v>31</v>
      </c>
      <c r="H201" s="120">
        <f t="shared" si="16"/>
        <v>45942</v>
      </c>
      <c r="I201" s="1">
        <v>8.0208999999999993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4"/>
        <v/>
      </c>
      <c r="Z201" s="1">
        <f t="shared" si="15"/>
        <v>0</v>
      </c>
    </row>
    <row r="202" spans="1:26" x14ac:dyDescent="0.3">
      <c r="A202" s="236"/>
      <c r="B202" s="236"/>
      <c r="C202" s="236">
        <f>YEAR(Table12[[#This Row],[Date]])</f>
        <v>2025</v>
      </c>
      <c r="D202" s="236"/>
      <c r="E202" s="236"/>
      <c r="F202" s="237" t="str">
        <f>TEXT(Table12[[#This Row],[Date]],"mmm-yy")</f>
        <v>Oct-25</v>
      </c>
      <c r="G202" s="236">
        <f t="shared" si="13"/>
        <v>31</v>
      </c>
      <c r="H202" s="120">
        <f t="shared" si="16"/>
        <v>45943</v>
      </c>
      <c r="I202" s="1">
        <v>8.0208999999999993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4"/>
        <v/>
      </c>
      <c r="Z202" s="1">
        <f t="shared" si="15"/>
        <v>0</v>
      </c>
    </row>
    <row r="203" spans="1:26" x14ac:dyDescent="0.3">
      <c r="A203" s="236"/>
      <c r="B203" s="236"/>
      <c r="C203" s="236">
        <f>YEAR(Table12[[#This Row],[Date]])</f>
        <v>2025</v>
      </c>
      <c r="D203" s="236"/>
      <c r="E203" s="236"/>
      <c r="F203" s="237" t="str">
        <f>TEXT(Table12[[#This Row],[Date]],"mmm-yy")</f>
        <v>Oct-25</v>
      </c>
      <c r="G203" s="236">
        <f t="shared" si="13"/>
        <v>31</v>
      </c>
      <c r="H203" s="120">
        <f t="shared" si="16"/>
        <v>45944</v>
      </c>
      <c r="I203" s="1">
        <v>8.0208999999999993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4"/>
        <v/>
      </c>
      <c r="Z203" s="1">
        <f t="shared" si="15"/>
        <v>0</v>
      </c>
    </row>
    <row r="204" spans="1:26" x14ac:dyDescent="0.3">
      <c r="A204" s="236"/>
      <c r="B204" s="236"/>
      <c r="C204" s="236">
        <f>YEAR(Table12[[#This Row],[Date]])</f>
        <v>2025</v>
      </c>
      <c r="D204" s="236"/>
      <c r="E204" s="236"/>
      <c r="F204" s="237" t="str">
        <f>TEXT(Table12[[#This Row],[Date]],"mmm-yy")</f>
        <v>Oct-25</v>
      </c>
      <c r="G204" s="236">
        <f t="shared" si="13"/>
        <v>31</v>
      </c>
      <c r="H204" s="120">
        <f t="shared" si="16"/>
        <v>45945</v>
      </c>
      <c r="I204" s="1">
        <v>8.0208999999999993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4"/>
        <v/>
      </c>
      <c r="Z204" s="1">
        <f t="shared" si="15"/>
        <v>0</v>
      </c>
    </row>
    <row r="205" spans="1:26" x14ac:dyDescent="0.3">
      <c r="A205" s="236"/>
      <c r="B205" s="236"/>
      <c r="C205" s="236">
        <f>YEAR(Table12[[#This Row],[Date]])</f>
        <v>2025</v>
      </c>
      <c r="D205" s="236"/>
      <c r="E205" s="236"/>
      <c r="F205" s="237" t="str">
        <f>TEXT(Table12[[#This Row],[Date]],"mmm-yy")</f>
        <v>Oct-25</v>
      </c>
      <c r="G205" s="236">
        <f t="shared" si="13"/>
        <v>31</v>
      </c>
      <c r="H205" s="120">
        <f t="shared" si="16"/>
        <v>45946</v>
      </c>
      <c r="I205" s="1">
        <v>8.0208999999999993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4"/>
        <v/>
      </c>
      <c r="Z205" s="1">
        <f t="shared" si="15"/>
        <v>0</v>
      </c>
    </row>
    <row r="206" spans="1:26" x14ac:dyDescent="0.3">
      <c r="A206" s="236"/>
      <c r="B206" s="236"/>
      <c r="C206" s="236">
        <f>YEAR(Table12[[#This Row],[Date]])</f>
        <v>2025</v>
      </c>
      <c r="D206" s="236"/>
      <c r="E206" s="236"/>
      <c r="F206" s="237" t="str">
        <f>TEXT(Table12[[#This Row],[Date]],"mmm-yy")</f>
        <v>Oct-25</v>
      </c>
      <c r="G206" s="236">
        <f t="shared" si="13"/>
        <v>31</v>
      </c>
      <c r="H206" s="120">
        <f t="shared" si="16"/>
        <v>45947</v>
      </c>
      <c r="I206" s="1">
        <v>8.0208999999999993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4"/>
        <v/>
      </c>
      <c r="Z206" s="1">
        <f t="shared" si="15"/>
        <v>0</v>
      </c>
    </row>
    <row r="207" spans="1:26" x14ac:dyDescent="0.3">
      <c r="A207" s="236"/>
      <c r="B207" s="236"/>
      <c r="C207" s="236">
        <f>YEAR(Table12[[#This Row],[Date]])</f>
        <v>2025</v>
      </c>
      <c r="D207" s="236"/>
      <c r="E207" s="236"/>
      <c r="F207" s="237" t="str">
        <f>TEXT(Table12[[#This Row],[Date]],"mmm-yy")</f>
        <v>Oct-25</v>
      </c>
      <c r="G207" s="236">
        <f t="shared" si="13"/>
        <v>31</v>
      </c>
      <c r="H207" s="120">
        <f t="shared" si="16"/>
        <v>45948</v>
      </c>
      <c r="I207" s="1">
        <v>8.0208999999999993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4"/>
        <v/>
      </c>
      <c r="Z207" s="1">
        <f t="shared" si="15"/>
        <v>0</v>
      </c>
    </row>
    <row r="208" spans="1:26" x14ac:dyDescent="0.3">
      <c r="A208" s="236"/>
      <c r="B208" s="236"/>
      <c r="C208" s="236">
        <f>YEAR(Table12[[#This Row],[Date]])</f>
        <v>2025</v>
      </c>
      <c r="D208" s="236"/>
      <c r="E208" s="236"/>
      <c r="F208" s="237" t="str">
        <f>TEXT(Table12[[#This Row],[Date]],"mmm-yy")</f>
        <v>Oct-25</v>
      </c>
      <c r="G208" s="236">
        <f t="shared" si="13"/>
        <v>31</v>
      </c>
      <c r="H208" s="120">
        <f t="shared" si="16"/>
        <v>45949</v>
      </c>
      <c r="I208" s="1">
        <v>8.0208999999999993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4"/>
        <v/>
      </c>
      <c r="Z208" s="1">
        <f t="shared" si="15"/>
        <v>0</v>
      </c>
    </row>
    <row r="209" spans="1:26" x14ac:dyDescent="0.3">
      <c r="A209" s="236"/>
      <c r="B209" s="236"/>
      <c r="C209" s="236">
        <f>YEAR(Table12[[#This Row],[Date]])</f>
        <v>2025</v>
      </c>
      <c r="D209" s="236"/>
      <c r="E209" s="236"/>
      <c r="F209" s="237" t="str">
        <f>TEXT(Table12[[#This Row],[Date]],"mmm-yy")</f>
        <v>Oct-25</v>
      </c>
      <c r="G209" s="236">
        <f t="shared" si="13"/>
        <v>31</v>
      </c>
      <c r="H209" s="120">
        <f t="shared" si="16"/>
        <v>45950</v>
      </c>
      <c r="I209" s="1">
        <v>8.0208999999999993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4"/>
        <v/>
      </c>
      <c r="Z209" s="1">
        <f t="shared" si="15"/>
        <v>0</v>
      </c>
    </row>
    <row r="210" spans="1:26" x14ac:dyDescent="0.3">
      <c r="A210" s="236"/>
      <c r="B210" s="236"/>
      <c r="C210" s="236">
        <f>YEAR(Table12[[#This Row],[Date]])</f>
        <v>2025</v>
      </c>
      <c r="D210" s="236"/>
      <c r="E210" s="236"/>
      <c r="F210" s="237" t="str">
        <f>TEXT(Table12[[#This Row],[Date]],"mmm-yy")</f>
        <v>Oct-25</v>
      </c>
      <c r="G210" s="236">
        <f t="shared" si="13"/>
        <v>31</v>
      </c>
      <c r="H210" s="120">
        <f t="shared" si="16"/>
        <v>45951</v>
      </c>
      <c r="I210" s="1">
        <v>8.0208999999999993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4"/>
        <v/>
      </c>
      <c r="Z210" s="1">
        <f t="shared" si="15"/>
        <v>0</v>
      </c>
    </row>
    <row r="211" spans="1:26" x14ac:dyDescent="0.3">
      <c r="A211" s="236"/>
      <c r="B211" s="236"/>
      <c r="C211" s="236">
        <f>YEAR(Table12[[#This Row],[Date]])</f>
        <v>2025</v>
      </c>
      <c r="D211" s="236"/>
      <c r="E211" s="236"/>
      <c r="F211" s="237" t="str">
        <f>TEXT(Table12[[#This Row],[Date]],"mmm-yy")</f>
        <v>Oct-25</v>
      </c>
      <c r="G211" s="236">
        <f t="shared" si="13"/>
        <v>31</v>
      </c>
      <c r="H211" s="120">
        <f t="shared" si="16"/>
        <v>45952</v>
      </c>
      <c r="I211" s="1">
        <v>8.0208999999999993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4"/>
        <v/>
      </c>
      <c r="Z211" s="1">
        <f t="shared" si="15"/>
        <v>0</v>
      </c>
    </row>
    <row r="212" spans="1:26" x14ac:dyDescent="0.3">
      <c r="A212" s="236"/>
      <c r="B212" s="236"/>
      <c r="C212" s="236">
        <f>YEAR(Table12[[#This Row],[Date]])</f>
        <v>2025</v>
      </c>
      <c r="D212" s="236"/>
      <c r="E212" s="236"/>
      <c r="F212" s="237" t="str">
        <f>TEXT(Table12[[#This Row],[Date]],"mmm-yy")</f>
        <v>Oct-25</v>
      </c>
      <c r="G212" s="236">
        <f t="shared" si="13"/>
        <v>31</v>
      </c>
      <c r="H212" s="120">
        <f t="shared" si="16"/>
        <v>45953</v>
      </c>
      <c r="I212" s="1">
        <v>8.0208999999999993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4"/>
        <v/>
      </c>
      <c r="Z212" s="1">
        <f t="shared" si="15"/>
        <v>0</v>
      </c>
    </row>
    <row r="213" spans="1:26" x14ac:dyDescent="0.3">
      <c r="A213" s="236"/>
      <c r="B213" s="236"/>
      <c r="C213" s="236">
        <f>YEAR(Table12[[#This Row],[Date]])</f>
        <v>2025</v>
      </c>
      <c r="D213" s="236"/>
      <c r="E213" s="236"/>
      <c r="F213" s="237" t="str">
        <f>TEXT(Table12[[#This Row],[Date]],"mmm-yy")</f>
        <v>Oct-25</v>
      </c>
      <c r="G213" s="236">
        <f t="shared" si="13"/>
        <v>31</v>
      </c>
      <c r="H213" s="120">
        <f t="shared" si="16"/>
        <v>45954</v>
      </c>
      <c r="I213" s="1">
        <v>8.0208999999999993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4"/>
        <v/>
      </c>
      <c r="Z213" s="1">
        <f t="shared" si="15"/>
        <v>0</v>
      </c>
    </row>
    <row r="214" spans="1:26" x14ac:dyDescent="0.3">
      <c r="A214" s="236"/>
      <c r="B214" s="236"/>
      <c r="C214" s="236">
        <f>YEAR(Table12[[#This Row],[Date]])</f>
        <v>2025</v>
      </c>
      <c r="D214" s="236"/>
      <c r="E214" s="236"/>
      <c r="F214" s="237" t="str">
        <f>TEXT(Table12[[#This Row],[Date]],"mmm-yy")</f>
        <v>Oct-25</v>
      </c>
      <c r="G214" s="236">
        <f t="shared" si="13"/>
        <v>31</v>
      </c>
      <c r="H214" s="120">
        <f t="shared" si="16"/>
        <v>45955</v>
      </c>
      <c r="I214" s="1">
        <v>8.0208999999999993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4"/>
        <v/>
      </c>
      <c r="Z214" s="1">
        <f t="shared" si="15"/>
        <v>0</v>
      </c>
    </row>
    <row r="215" spans="1:26" x14ac:dyDescent="0.3">
      <c r="A215" s="236"/>
      <c r="B215" s="236"/>
      <c r="C215" s="236">
        <f>YEAR(Table12[[#This Row],[Date]])</f>
        <v>2025</v>
      </c>
      <c r="D215" s="236"/>
      <c r="E215" s="236"/>
      <c r="F215" s="237" t="str">
        <f>TEXT(Table12[[#This Row],[Date]],"mmm-yy")</f>
        <v>Oct-25</v>
      </c>
      <c r="G215" s="236">
        <f t="shared" si="13"/>
        <v>31</v>
      </c>
      <c r="H215" s="120">
        <f t="shared" si="16"/>
        <v>45956</v>
      </c>
      <c r="I215" s="1">
        <v>8.0208999999999993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4"/>
        <v/>
      </c>
      <c r="Z215" s="1">
        <f t="shared" si="15"/>
        <v>0</v>
      </c>
    </row>
    <row r="216" spans="1:26" x14ac:dyDescent="0.3">
      <c r="A216" s="236"/>
      <c r="B216" s="236"/>
      <c r="C216" s="236">
        <f>YEAR(Table12[[#This Row],[Date]])</f>
        <v>2025</v>
      </c>
      <c r="D216" s="236"/>
      <c r="E216" s="236"/>
      <c r="F216" s="237" t="str">
        <f>TEXT(Table12[[#This Row],[Date]],"mmm-yy")</f>
        <v>Oct-25</v>
      </c>
      <c r="G216" s="236">
        <f t="shared" si="13"/>
        <v>31</v>
      </c>
      <c r="H216" s="120">
        <f t="shared" si="16"/>
        <v>45957</v>
      </c>
      <c r="I216" s="1">
        <v>8.0208999999999993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4"/>
        <v/>
      </c>
      <c r="Z216" s="1">
        <f t="shared" si="15"/>
        <v>0</v>
      </c>
    </row>
    <row r="217" spans="1:26" x14ac:dyDescent="0.3">
      <c r="A217" s="236"/>
      <c r="B217" s="236"/>
      <c r="C217" s="236">
        <f>YEAR(Table12[[#This Row],[Date]])</f>
        <v>2025</v>
      </c>
      <c r="D217" s="236"/>
      <c r="E217" s="236"/>
      <c r="F217" s="237" t="str">
        <f>TEXT(Table12[[#This Row],[Date]],"mmm-yy")</f>
        <v>Oct-25</v>
      </c>
      <c r="G217" s="236">
        <f t="shared" si="13"/>
        <v>31</v>
      </c>
      <c r="H217" s="120">
        <f t="shared" si="16"/>
        <v>45958</v>
      </c>
      <c r="I217" s="1">
        <v>8.0208999999999993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4"/>
        <v/>
      </c>
      <c r="Z217" s="1">
        <f t="shared" si="15"/>
        <v>0</v>
      </c>
    </row>
    <row r="218" spans="1:26" x14ac:dyDescent="0.3">
      <c r="A218" s="236"/>
      <c r="B218" s="236"/>
      <c r="C218" s="236">
        <f>YEAR(Table12[[#This Row],[Date]])</f>
        <v>2025</v>
      </c>
      <c r="D218" s="236"/>
      <c r="E218" s="236"/>
      <c r="F218" s="237" t="str">
        <f>TEXT(Table12[[#This Row],[Date]],"mmm-yy")</f>
        <v>Oct-25</v>
      </c>
      <c r="G218" s="236">
        <f t="shared" si="13"/>
        <v>31</v>
      </c>
      <c r="H218" s="120">
        <f t="shared" si="16"/>
        <v>45959</v>
      </c>
      <c r="I218" s="1">
        <v>8.0208999999999993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4"/>
        <v/>
      </c>
      <c r="Z218" s="1">
        <f t="shared" si="15"/>
        <v>0</v>
      </c>
    </row>
    <row r="219" spans="1:26" x14ac:dyDescent="0.3">
      <c r="A219" s="236"/>
      <c r="B219" s="236"/>
      <c r="C219" s="236">
        <f>YEAR(Table12[[#This Row],[Date]])</f>
        <v>2025</v>
      </c>
      <c r="D219" s="236"/>
      <c r="E219" s="236"/>
      <c r="F219" s="237" t="str">
        <f>TEXT(Table12[[#This Row],[Date]],"mmm-yy")</f>
        <v>Oct-25</v>
      </c>
      <c r="G219" s="236">
        <f t="shared" si="13"/>
        <v>31</v>
      </c>
      <c r="H219" s="120">
        <f t="shared" si="16"/>
        <v>45960</v>
      </c>
      <c r="I219" s="1">
        <v>8.0208999999999993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4"/>
        <v/>
      </c>
      <c r="Z219" s="1">
        <f t="shared" si="15"/>
        <v>0</v>
      </c>
    </row>
    <row r="220" spans="1:26" x14ac:dyDescent="0.3">
      <c r="A220" s="236"/>
      <c r="B220" s="236"/>
      <c r="C220" s="236">
        <f>YEAR(Table12[[#This Row],[Date]])</f>
        <v>2025</v>
      </c>
      <c r="D220" s="236"/>
      <c r="E220" s="236"/>
      <c r="F220" s="237" t="str">
        <f>TEXT(Table12[[#This Row],[Date]],"mmm-yy")</f>
        <v>Oct-25</v>
      </c>
      <c r="G220" s="236">
        <f t="shared" si="13"/>
        <v>31</v>
      </c>
      <c r="H220" s="120">
        <f t="shared" si="16"/>
        <v>45961</v>
      </c>
      <c r="I220" s="1">
        <v>8.0208999999999993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4"/>
        <v/>
      </c>
      <c r="Z220" s="1">
        <f t="shared" si="15"/>
        <v>0</v>
      </c>
    </row>
    <row r="221" spans="1:26" x14ac:dyDescent="0.3">
      <c r="A221" s="236"/>
      <c r="B221" s="236"/>
      <c r="C221" s="236">
        <f>YEAR(Table12[[#This Row],[Date]])</f>
        <v>2025</v>
      </c>
      <c r="D221" s="236"/>
      <c r="E221" s="236"/>
      <c r="F221" s="237" t="str">
        <f>TEXT(Table12[[#This Row],[Date]],"mmm-yy")</f>
        <v>Nov-25</v>
      </c>
      <c r="G221" s="236">
        <f t="shared" si="13"/>
        <v>30</v>
      </c>
      <c r="H221" s="120">
        <f t="shared" si="16"/>
        <v>45962</v>
      </c>
      <c r="I221" s="1">
        <v>8.0208999999999993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4"/>
        <v/>
      </c>
      <c r="Z221" s="1">
        <f t="shared" si="15"/>
        <v>0</v>
      </c>
    </row>
    <row r="222" spans="1:26" x14ac:dyDescent="0.3">
      <c r="A222" s="236"/>
      <c r="B222" s="236"/>
      <c r="C222" s="236">
        <f>YEAR(Table12[[#This Row],[Date]])</f>
        <v>2025</v>
      </c>
      <c r="D222" s="236"/>
      <c r="E222" s="236"/>
      <c r="F222" s="237" t="str">
        <f>TEXT(Table12[[#This Row],[Date]],"mmm-yy")</f>
        <v>Nov-25</v>
      </c>
      <c r="G222" s="236">
        <f t="shared" si="13"/>
        <v>30</v>
      </c>
      <c r="H222" s="120">
        <f t="shared" si="16"/>
        <v>45963</v>
      </c>
      <c r="I222" s="1">
        <v>8.0208999999999993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4"/>
        <v/>
      </c>
      <c r="Z222" s="1">
        <f t="shared" si="15"/>
        <v>0</v>
      </c>
    </row>
    <row r="223" spans="1:26" x14ac:dyDescent="0.3">
      <c r="A223" s="236"/>
      <c r="B223" s="236"/>
      <c r="C223" s="236">
        <f>YEAR(Table12[[#This Row],[Date]])</f>
        <v>2025</v>
      </c>
      <c r="D223" s="236"/>
      <c r="E223" s="236"/>
      <c r="F223" s="237" t="str">
        <f>TEXT(Table12[[#This Row],[Date]],"mmm-yy")</f>
        <v>Nov-25</v>
      </c>
      <c r="G223" s="236">
        <f t="shared" si="13"/>
        <v>30</v>
      </c>
      <c r="H223" s="120">
        <f t="shared" si="16"/>
        <v>45964</v>
      </c>
      <c r="I223" s="1">
        <v>8.0208999999999993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4"/>
        <v/>
      </c>
      <c r="Z223" s="1">
        <f t="shared" si="15"/>
        <v>0</v>
      </c>
    </row>
    <row r="224" spans="1:26" x14ac:dyDescent="0.3">
      <c r="A224" s="236"/>
      <c r="B224" s="236"/>
      <c r="C224" s="236">
        <f>YEAR(Table12[[#This Row],[Date]])</f>
        <v>2025</v>
      </c>
      <c r="D224" s="236"/>
      <c r="E224" s="236"/>
      <c r="F224" s="237" t="str">
        <f>TEXT(Table12[[#This Row],[Date]],"mmm-yy")</f>
        <v>Nov-25</v>
      </c>
      <c r="G224" s="236">
        <f t="shared" si="13"/>
        <v>30</v>
      </c>
      <c r="H224" s="120">
        <f t="shared" si="16"/>
        <v>45965</v>
      </c>
      <c r="I224" s="1">
        <v>8.0208999999999993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4"/>
        <v/>
      </c>
      <c r="Z224" s="1">
        <f t="shared" si="15"/>
        <v>0</v>
      </c>
    </row>
    <row r="225" spans="1:26" x14ac:dyDescent="0.3">
      <c r="A225" s="236"/>
      <c r="B225" s="236"/>
      <c r="C225" s="236">
        <f>YEAR(Table12[[#This Row],[Date]])</f>
        <v>2025</v>
      </c>
      <c r="D225" s="236"/>
      <c r="E225" s="236"/>
      <c r="F225" s="237" t="str">
        <f>TEXT(Table12[[#This Row],[Date]],"mmm-yy")</f>
        <v>Nov-25</v>
      </c>
      <c r="G225" s="236">
        <f t="shared" si="13"/>
        <v>30</v>
      </c>
      <c r="H225" s="120">
        <f t="shared" si="16"/>
        <v>45966</v>
      </c>
      <c r="I225" s="1">
        <v>8.0208999999999993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4"/>
        <v/>
      </c>
      <c r="Z225" s="1">
        <f t="shared" si="15"/>
        <v>0</v>
      </c>
    </row>
    <row r="226" spans="1:26" x14ac:dyDescent="0.3">
      <c r="A226" s="236"/>
      <c r="B226" s="236"/>
      <c r="C226" s="236">
        <f>YEAR(Table12[[#This Row],[Date]])</f>
        <v>2025</v>
      </c>
      <c r="D226" s="236"/>
      <c r="E226" s="236"/>
      <c r="F226" s="237" t="str">
        <f>TEXT(Table12[[#This Row],[Date]],"mmm-yy")</f>
        <v>Nov-25</v>
      </c>
      <c r="G226" s="236">
        <f t="shared" si="13"/>
        <v>30</v>
      </c>
      <c r="H226" s="120">
        <f t="shared" si="16"/>
        <v>45967</v>
      </c>
      <c r="I226" s="1">
        <v>8.0208999999999993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4"/>
        <v/>
      </c>
      <c r="Z226" s="1">
        <f t="shared" si="15"/>
        <v>0</v>
      </c>
    </row>
    <row r="227" spans="1:26" x14ac:dyDescent="0.3">
      <c r="A227" s="236"/>
      <c r="B227" s="236"/>
      <c r="C227" s="236">
        <f>YEAR(Table12[[#This Row],[Date]])</f>
        <v>2025</v>
      </c>
      <c r="D227" s="236"/>
      <c r="E227" s="236"/>
      <c r="F227" s="237" t="str">
        <f>TEXT(Table12[[#This Row],[Date]],"mmm-yy")</f>
        <v>Nov-25</v>
      </c>
      <c r="G227" s="236">
        <f t="shared" si="13"/>
        <v>30</v>
      </c>
      <c r="H227" s="120">
        <f t="shared" si="16"/>
        <v>45968</v>
      </c>
      <c r="I227" s="1">
        <v>8.0208999999999993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4"/>
        <v/>
      </c>
      <c r="Z227" s="1">
        <f t="shared" si="15"/>
        <v>0</v>
      </c>
    </row>
    <row r="228" spans="1:26" x14ac:dyDescent="0.3">
      <c r="A228" s="236"/>
      <c r="B228" s="236"/>
      <c r="C228" s="236">
        <f>YEAR(Table12[[#This Row],[Date]])</f>
        <v>2025</v>
      </c>
      <c r="D228" s="236"/>
      <c r="E228" s="236"/>
      <c r="F228" s="237" t="str">
        <f>TEXT(Table12[[#This Row],[Date]],"mmm-yy")</f>
        <v>Nov-25</v>
      </c>
      <c r="G228" s="236">
        <f t="shared" ref="G228:G291" si="17">DAY(EOMONTH(F228,0))</f>
        <v>30</v>
      </c>
      <c r="H228" s="120">
        <f t="shared" si="16"/>
        <v>45969</v>
      </c>
      <c r="I228" s="1">
        <v>8.0208999999999993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91" si="18">IFERROR(AVERAGEIF(V228:X228,"&gt;"&amp;0,V228:X228),"")</f>
        <v/>
      </c>
      <c r="Z228" s="1">
        <f t="shared" ref="Z228:Z291" si="19">MAXA(V228:X228)</f>
        <v>0</v>
      </c>
    </row>
    <row r="229" spans="1:26" x14ac:dyDescent="0.3">
      <c r="A229" s="236"/>
      <c r="B229" s="236"/>
      <c r="C229" s="236">
        <f>YEAR(Table12[[#This Row],[Date]])</f>
        <v>2025</v>
      </c>
      <c r="D229" s="236"/>
      <c r="E229" s="236"/>
      <c r="F229" s="237" t="str">
        <f>TEXT(Table12[[#This Row],[Date]],"mmm-yy")</f>
        <v>Nov-25</v>
      </c>
      <c r="G229" s="236">
        <f t="shared" si="17"/>
        <v>30</v>
      </c>
      <c r="H229" s="120">
        <f t="shared" si="16"/>
        <v>45970</v>
      </c>
      <c r="I229" s="1">
        <v>8.0208999999999993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8"/>
        <v/>
      </c>
      <c r="Z229" s="1">
        <f t="shared" si="19"/>
        <v>0</v>
      </c>
    </row>
    <row r="230" spans="1:26" x14ac:dyDescent="0.3">
      <c r="A230" s="236"/>
      <c r="B230" s="236"/>
      <c r="C230" s="236">
        <f>YEAR(Table12[[#This Row],[Date]])</f>
        <v>2025</v>
      </c>
      <c r="D230" s="236"/>
      <c r="E230" s="236"/>
      <c r="F230" s="237" t="str">
        <f>TEXT(Table12[[#This Row],[Date]],"mmm-yy")</f>
        <v>Nov-25</v>
      </c>
      <c r="G230" s="236">
        <f t="shared" si="17"/>
        <v>30</v>
      </c>
      <c r="H230" s="120">
        <f t="shared" si="16"/>
        <v>45971</v>
      </c>
      <c r="I230" s="1">
        <v>8.0208999999999993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8"/>
        <v/>
      </c>
      <c r="Z230" s="1">
        <f t="shared" si="19"/>
        <v>0</v>
      </c>
    </row>
    <row r="231" spans="1:26" x14ac:dyDescent="0.3">
      <c r="A231" s="236"/>
      <c r="B231" s="236"/>
      <c r="C231" s="236">
        <f>YEAR(Table12[[#This Row],[Date]])</f>
        <v>2025</v>
      </c>
      <c r="D231" s="236"/>
      <c r="E231" s="236"/>
      <c r="F231" s="237" t="str">
        <f>TEXT(Table12[[#This Row],[Date]],"mmm-yy")</f>
        <v>Nov-25</v>
      </c>
      <c r="G231" s="236">
        <f t="shared" si="17"/>
        <v>30</v>
      </c>
      <c r="H231" s="120">
        <f t="shared" si="16"/>
        <v>45972</v>
      </c>
      <c r="I231" s="1">
        <v>8.0208999999999993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8"/>
        <v/>
      </c>
      <c r="Z231" s="1">
        <f t="shared" si="19"/>
        <v>0</v>
      </c>
    </row>
    <row r="232" spans="1:26" x14ac:dyDescent="0.3">
      <c r="A232" s="236"/>
      <c r="B232" s="236"/>
      <c r="C232" s="236">
        <f>YEAR(Table12[[#This Row],[Date]])</f>
        <v>2025</v>
      </c>
      <c r="D232" s="236"/>
      <c r="E232" s="236"/>
      <c r="F232" s="237" t="str">
        <f>TEXT(Table12[[#This Row],[Date]],"mmm-yy")</f>
        <v>Nov-25</v>
      </c>
      <c r="G232" s="236">
        <f t="shared" si="17"/>
        <v>30</v>
      </c>
      <c r="H232" s="120">
        <f t="shared" si="16"/>
        <v>45973</v>
      </c>
      <c r="I232" s="1">
        <v>8.0208999999999993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8"/>
        <v/>
      </c>
      <c r="Z232" s="1">
        <f t="shared" si="19"/>
        <v>0</v>
      </c>
    </row>
    <row r="233" spans="1:26" x14ac:dyDescent="0.3">
      <c r="A233" s="236"/>
      <c r="B233" s="236"/>
      <c r="C233" s="236">
        <f>YEAR(Table12[[#This Row],[Date]])</f>
        <v>2025</v>
      </c>
      <c r="D233" s="236"/>
      <c r="E233" s="236"/>
      <c r="F233" s="237" t="str">
        <f>TEXT(Table12[[#This Row],[Date]],"mmm-yy")</f>
        <v>Nov-25</v>
      </c>
      <c r="G233" s="236">
        <f t="shared" si="17"/>
        <v>30</v>
      </c>
      <c r="H233" s="120">
        <f t="shared" si="16"/>
        <v>45974</v>
      </c>
      <c r="I233" s="1">
        <v>8.0208999999999993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8"/>
        <v/>
      </c>
      <c r="Z233" s="1">
        <f t="shared" si="19"/>
        <v>0</v>
      </c>
    </row>
    <row r="234" spans="1:26" x14ac:dyDescent="0.3">
      <c r="A234" s="236"/>
      <c r="B234" s="236"/>
      <c r="C234" s="236">
        <f>YEAR(Table12[[#This Row],[Date]])</f>
        <v>2025</v>
      </c>
      <c r="D234" s="236"/>
      <c r="E234" s="236"/>
      <c r="F234" s="237" t="str">
        <f>TEXT(Table12[[#This Row],[Date]],"mmm-yy")</f>
        <v>Nov-25</v>
      </c>
      <c r="G234" s="236">
        <f t="shared" si="17"/>
        <v>30</v>
      </c>
      <c r="H234" s="120">
        <f t="shared" si="16"/>
        <v>45975</v>
      </c>
      <c r="I234" s="1">
        <v>8.0208999999999993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8"/>
        <v/>
      </c>
      <c r="Z234" s="1">
        <f t="shared" si="19"/>
        <v>0</v>
      </c>
    </row>
    <row r="235" spans="1:26" x14ac:dyDescent="0.3">
      <c r="A235" s="236"/>
      <c r="B235" s="236"/>
      <c r="C235" s="236">
        <f>YEAR(Table12[[#This Row],[Date]])</f>
        <v>2025</v>
      </c>
      <c r="D235" s="236"/>
      <c r="E235" s="236"/>
      <c r="F235" s="237" t="str">
        <f>TEXT(Table12[[#This Row],[Date]],"mmm-yy")</f>
        <v>Nov-25</v>
      </c>
      <c r="G235" s="236">
        <f t="shared" si="17"/>
        <v>30</v>
      </c>
      <c r="H235" s="120">
        <f t="shared" si="16"/>
        <v>45976</v>
      </c>
      <c r="I235" s="1">
        <v>8.0208999999999993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8"/>
        <v/>
      </c>
      <c r="Z235" s="1">
        <f t="shared" si="19"/>
        <v>0</v>
      </c>
    </row>
    <row r="236" spans="1:26" x14ac:dyDescent="0.3">
      <c r="A236" s="236"/>
      <c r="B236" s="236"/>
      <c r="C236" s="236">
        <f>YEAR(Table12[[#This Row],[Date]])</f>
        <v>2025</v>
      </c>
      <c r="D236" s="236"/>
      <c r="E236" s="236"/>
      <c r="F236" s="237" t="str">
        <f>TEXT(Table12[[#This Row],[Date]],"mmm-yy")</f>
        <v>Nov-25</v>
      </c>
      <c r="G236" s="236">
        <f t="shared" si="17"/>
        <v>30</v>
      </c>
      <c r="H236" s="120">
        <f t="shared" si="16"/>
        <v>45977</v>
      </c>
      <c r="I236" s="1">
        <v>8.0208999999999993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8"/>
        <v/>
      </c>
      <c r="Z236" s="1">
        <f t="shared" si="19"/>
        <v>0</v>
      </c>
    </row>
    <row r="237" spans="1:26" x14ac:dyDescent="0.3">
      <c r="A237" s="236"/>
      <c r="B237" s="236"/>
      <c r="C237" s="236">
        <f>YEAR(Table12[[#This Row],[Date]])</f>
        <v>2025</v>
      </c>
      <c r="D237" s="236"/>
      <c r="E237" s="236"/>
      <c r="F237" s="237" t="str">
        <f>TEXT(Table12[[#This Row],[Date]],"mmm-yy")</f>
        <v>Nov-25</v>
      </c>
      <c r="G237" s="236">
        <f t="shared" si="17"/>
        <v>30</v>
      </c>
      <c r="H237" s="120">
        <f t="shared" si="16"/>
        <v>45978</v>
      </c>
      <c r="I237" s="1">
        <v>8.0208999999999993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8"/>
        <v/>
      </c>
      <c r="Z237" s="1">
        <f t="shared" si="19"/>
        <v>0</v>
      </c>
    </row>
    <row r="238" spans="1:26" x14ac:dyDescent="0.3">
      <c r="A238" s="236"/>
      <c r="B238" s="236"/>
      <c r="C238" s="236">
        <f>YEAR(Table12[[#This Row],[Date]])</f>
        <v>2025</v>
      </c>
      <c r="D238" s="236"/>
      <c r="E238" s="236"/>
      <c r="F238" s="237" t="str">
        <f>TEXT(Table12[[#This Row],[Date]],"mmm-yy")</f>
        <v>Nov-25</v>
      </c>
      <c r="G238" s="236">
        <f t="shared" si="17"/>
        <v>30</v>
      </c>
      <c r="H238" s="120">
        <f t="shared" si="16"/>
        <v>45979</v>
      </c>
      <c r="I238" s="1">
        <v>8.0208999999999993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8"/>
        <v/>
      </c>
      <c r="Z238" s="1">
        <f t="shared" si="19"/>
        <v>0</v>
      </c>
    </row>
    <row r="239" spans="1:26" x14ac:dyDescent="0.3">
      <c r="A239" s="236"/>
      <c r="B239" s="236"/>
      <c r="C239" s="236">
        <f>YEAR(Table12[[#This Row],[Date]])</f>
        <v>2025</v>
      </c>
      <c r="D239" s="236"/>
      <c r="E239" s="236"/>
      <c r="F239" s="237" t="str">
        <f>TEXT(Table12[[#This Row],[Date]],"mmm-yy")</f>
        <v>Nov-25</v>
      </c>
      <c r="G239" s="236">
        <f t="shared" si="17"/>
        <v>30</v>
      </c>
      <c r="H239" s="120">
        <f t="shared" si="16"/>
        <v>45980</v>
      </c>
      <c r="I239" s="1">
        <v>8.0208999999999993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8"/>
        <v/>
      </c>
      <c r="Z239" s="1">
        <f t="shared" si="19"/>
        <v>0</v>
      </c>
    </row>
    <row r="240" spans="1:26" x14ac:dyDescent="0.3">
      <c r="A240" s="236"/>
      <c r="B240" s="236"/>
      <c r="C240" s="236">
        <f>YEAR(Table12[[#This Row],[Date]])</f>
        <v>2025</v>
      </c>
      <c r="D240" s="236"/>
      <c r="E240" s="236"/>
      <c r="F240" s="237" t="str">
        <f>TEXT(Table12[[#This Row],[Date]],"mmm-yy")</f>
        <v>Nov-25</v>
      </c>
      <c r="G240" s="236">
        <f t="shared" si="17"/>
        <v>30</v>
      </c>
      <c r="H240" s="120">
        <f t="shared" si="16"/>
        <v>45981</v>
      </c>
      <c r="I240" s="1">
        <v>8.0208999999999993</v>
      </c>
      <c r="J240" s="1">
        <f>'Raw Data'!K240/Inv_SY!J$2</f>
        <v>0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8"/>
        <v/>
      </c>
      <c r="Z240" s="1">
        <f t="shared" si="19"/>
        <v>0</v>
      </c>
    </row>
    <row r="241" spans="1:26" x14ac:dyDescent="0.3">
      <c r="A241" s="236"/>
      <c r="B241" s="236"/>
      <c r="C241" s="236">
        <f>YEAR(Table12[[#This Row],[Date]])</f>
        <v>2025</v>
      </c>
      <c r="D241" s="236"/>
      <c r="E241" s="236"/>
      <c r="F241" s="237" t="str">
        <f>TEXT(Table12[[#This Row],[Date]],"mmm-yy")</f>
        <v>Nov-25</v>
      </c>
      <c r="G241" s="236">
        <f t="shared" si="17"/>
        <v>30</v>
      </c>
      <c r="H241" s="120">
        <f t="shared" si="16"/>
        <v>45982</v>
      </c>
      <c r="I241" s="1">
        <v>8.0208999999999993</v>
      </c>
      <c r="J241" s="1">
        <f>'Raw Data'!K241/Inv_SY!J$2</f>
        <v>0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8"/>
        <v/>
      </c>
      <c r="Z241" s="1">
        <f t="shared" si="19"/>
        <v>0</v>
      </c>
    </row>
    <row r="242" spans="1:26" x14ac:dyDescent="0.3">
      <c r="A242" s="236"/>
      <c r="B242" s="236"/>
      <c r="C242" s="236">
        <f>YEAR(Table12[[#This Row],[Date]])</f>
        <v>2025</v>
      </c>
      <c r="D242" s="236"/>
      <c r="E242" s="236"/>
      <c r="F242" s="237" t="str">
        <f>TEXT(Table12[[#This Row],[Date]],"mmm-yy")</f>
        <v>Nov-25</v>
      </c>
      <c r="G242" s="236">
        <f t="shared" si="17"/>
        <v>30</v>
      </c>
      <c r="H242" s="120">
        <f t="shared" si="16"/>
        <v>45983</v>
      </c>
      <c r="I242" s="1">
        <v>8.0208999999999993</v>
      </c>
      <c r="J242" s="1">
        <f>'Raw Data'!K242/Inv_SY!J$2</f>
        <v>0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8"/>
        <v/>
      </c>
      <c r="Z242" s="1">
        <f t="shared" si="19"/>
        <v>0</v>
      </c>
    </row>
    <row r="243" spans="1:26" x14ac:dyDescent="0.3">
      <c r="A243" s="236"/>
      <c r="B243" s="236"/>
      <c r="C243" s="236">
        <f>YEAR(Table12[[#This Row],[Date]])</f>
        <v>2025</v>
      </c>
      <c r="D243" s="236"/>
      <c r="E243" s="236"/>
      <c r="F243" s="237" t="str">
        <f>TEXT(Table12[[#This Row],[Date]],"mmm-yy")</f>
        <v>Nov-25</v>
      </c>
      <c r="G243" s="236">
        <f t="shared" si="17"/>
        <v>30</v>
      </c>
      <c r="H243" s="120">
        <f t="shared" si="16"/>
        <v>45984</v>
      </c>
      <c r="I243" s="1">
        <v>8.0208999999999993</v>
      </c>
      <c r="J243" s="1">
        <f>'Raw Data'!K243/Inv_SY!J$2</f>
        <v>0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8"/>
        <v/>
      </c>
      <c r="Z243" s="1">
        <f t="shared" si="19"/>
        <v>0</v>
      </c>
    </row>
    <row r="244" spans="1:26" x14ac:dyDescent="0.3">
      <c r="A244" s="236"/>
      <c r="B244" s="236"/>
      <c r="C244" s="236">
        <f>YEAR(Table12[[#This Row],[Date]])</f>
        <v>2025</v>
      </c>
      <c r="D244" s="236"/>
      <c r="E244" s="236"/>
      <c r="F244" s="237" t="str">
        <f>TEXT(Table12[[#This Row],[Date]],"mmm-yy")</f>
        <v>Nov-25</v>
      </c>
      <c r="G244" s="236">
        <f t="shared" si="17"/>
        <v>30</v>
      </c>
      <c r="H244" s="120">
        <f t="shared" si="16"/>
        <v>45985</v>
      </c>
      <c r="I244" s="1">
        <v>8.0208999999999993</v>
      </c>
      <c r="J244" s="1">
        <f>'Raw Data'!K244/Inv_SY!J$2</f>
        <v>0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8"/>
        <v/>
      </c>
      <c r="Z244" s="1">
        <f t="shared" si="19"/>
        <v>0</v>
      </c>
    </row>
    <row r="245" spans="1:26" x14ac:dyDescent="0.3">
      <c r="A245" s="236"/>
      <c r="B245" s="236"/>
      <c r="C245" s="236">
        <f>YEAR(Table12[[#This Row],[Date]])</f>
        <v>2025</v>
      </c>
      <c r="D245" s="236"/>
      <c r="E245" s="236"/>
      <c r="F245" s="237" t="str">
        <f>TEXT(Table12[[#This Row],[Date]],"mmm-yy")</f>
        <v>Nov-25</v>
      </c>
      <c r="G245" s="236">
        <f t="shared" si="17"/>
        <v>30</v>
      </c>
      <c r="H245" s="120">
        <f t="shared" si="16"/>
        <v>45986</v>
      </c>
      <c r="I245" s="1">
        <v>8.0208999999999993</v>
      </c>
      <c r="J245" s="1">
        <f>'Raw Data'!K245/Inv_SY!J$2</f>
        <v>0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8"/>
        <v/>
      </c>
      <c r="Z245" s="1">
        <f t="shared" si="19"/>
        <v>0</v>
      </c>
    </row>
    <row r="246" spans="1:26" x14ac:dyDescent="0.3">
      <c r="A246" s="236"/>
      <c r="B246" s="236"/>
      <c r="C246" s="236">
        <f>YEAR(Table12[[#This Row],[Date]])</f>
        <v>2025</v>
      </c>
      <c r="D246" s="236"/>
      <c r="E246" s="236"/>
      <c r="F246" s="237" t="str">
        <f>TEXT(Table12[[#This Row],[Date]],"mmm-yy")</f>
        <v>Nov-25</v>
      </c>
      <c r="G246" s="236">
        <f t="shared" si="17"/>
        <v>30</v>
      </c>
      <c r="H246" s="120">
        <f t="shared" si="16"/>
        <v>45987</v>
      </c>
      <c r="I246" s="1">
        <v>8.0208999999999993</v>
      </c>
      <c r="J246" s="1">
        <f>'Raw Data'!K246/Inv_SY!J$2</f>
        <v>0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8"/>
        <v/>
      </c>
      <c r="Z246" s="1">
        <f t="shared" si="19"/>
        <v>0</v>
      </c>
    </row>
    <row r="247" spans="1:26" x14ac:dyDescent="0.3">
      <c r="A247" s="236"/>
      <c r="B247" s="236"/>
      <c r="C247" s="236">
        <f>YEAR(Table12[[#This Row],[Date]])</f>
        <v>2025</v>
      </c>
      <c r="D247" s="236"/>
      <c r="E247" s="236"/>
      <c r="F247" s="237" t="str">
        <f>TEXT(Table12[[#This Row],[Date]],"mmm-yy")</f>
        <v>Nov-25</v>
      </c>
      <c r="G247" s="236">
        <f t="shared" si="17"/>
        <v>30</v>
      </c>
      <c r="H247" s="120">
        <f t="shared" si="16"/>
        <v>45988</v>
      </c>
      <c r="I247" s="1">
        <v>8.0208999999999993</v>
      </c>
      <c r="J247" s="1">
        <f>'Raw Data'!K247/Inv_SY!J$2</f>
        <v>0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8"/>
        <v/>
      </c>
      <c r="Z247" s="1">
        <f t="shared" si="19"/>
        <v>0</v>
      </c>
    </row>
    <row r="248" spans="1:26" x14ac:dyDescent="0.3">
      <c r="A248" s="236"/>
      <c r="B248" s="236"/>
      <c r="C248" s="236">
        <f>YEAR(Table12[[#This Row],[Date]])</f>
        <v>2025</v>
      </c>
      <c r="D248" s="236"/>
      <c r="E248" s="236"/>
      <c r="F248" s="237" t="str">
        <f>TEXT(Table12[[#This Row],[Date]],"mmm-yy")</f>
        <v>Nov-25</v>
      </c>
      <c r="G248" s="236">
        <f t="shared" si="17"/>
        <v>30</v>
      </c>
      <c r="H248" s="120">
        <f t="shared" si="16"/>
        <v>45989</v>
      </c>
      <c r="I248" s="1">
        <v>8.0208999999999993</v>
      </c>
      <c r="J248" s="1">
        <f>'Raw Data'!K248/Inv_SY!J$2</f>
        <v>0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8"/>
        <v/>
      </c>
      <c r="Z248" s="1">
        <f t="shared" si="19"/>
        <v>0</v>
      </c>
    </row>
    <row r="249" spans="1:26" x14ac:dyDescent="0.3">
      <c r="A249" s="236"/>
      <c r="B249" s="236"/>
      <c r="C249" s="236">
        <f>YEAR(Table12[[#This Row],[Date]])</f>
        <v>2025</v>
      </c>
      <c r="D249" s="236"/>
      <c r="E249" s="236"/>
      <c r="F249" s="237" t="str">
        <f>TEXT(Table12[[#This Row],[Date]],"mmm-yy")</f>
        <v>Nov-25</v>
      </c>
      <c r="G249" s="236">
        <f t="shared" si="17"/>
        <v>30</v>
      </c>
      <c r="H249" s="120">
        <f t="shared" si="16"/>
        <v>45990</v>
      </c>
      <c r="I249" s="1">
        <v>8.0208999999999993</v>
      </c>
      <c r="J249" s="1">
        <f>'Raw Data'!K249/Inv_SY!J$2</f>
        <v>0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8"/>
        <v/>
      </c>
      <c r="Z249" s="1">
        <f t="shared" si="19"/>
        <v>0</v>
      </c>
    </row>
    <row r="250" spans="1:26" x14ac:dyDescent="0.3">
      <c r="A250" s="236"/>
      <c r="B250" s="236"/>
      <c r="C250" s="236">
        <f>YEAR(Table12[[#This Row],[Date]])</f>
        <v>2025</v>
      </c>
      <c r="D250" s="236"/>
      <c r="E250" s="236"/>
      <c r="F250" s="237" t="str">
        <f>TEXT(Table12[[#This Row],[Date]],"mmm-yy")</f>
        <v>Nov-25</v>
      </c>
      <c r="G250" s="236">
        <f t="shared" si="17"/>
        <v>30</v>
      </c>
      <c r="H250" s="120">
        <f t="shared" si="16"/>
        <v>45991</v>
      </c>
      <c r="I250" s="1">
        <v>8.0208999999999993</v>
      </c>
      <c r="J250" s="1">
        <f>'Raw Data'!K250/Inv_SY!J$2</f>
        <v>0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8"/>
        <v/>
      </c>
      <c r="Z250" s="1">
        <f t="shared" si="19"/>
        <v>0</v>
      </c>
    </row>
    <row r="251" spans="1:26" x14ac:dyDescent="0.3">
      <c r="A251" s="236"/>
      <c r="B251" s="236"/>
      <c r="C251" s="236">
        <f>YEAR(Table12[[#This Row],[Date]])</f>
        <v>2025</v>
      </c>
      <c r="D251" s="236"/>
      <c r="E251" s="236"/>
      <c r="F251" s="237" t="str">
        <f>TEXT(Table12[[#This Row],[Date]],"mmm-yy")</f>
        <v>Dec-25</v>
      </c>
      <c r="G251" s="236">
        <f t="shared" si="17"/>
        <v>31</v>
      </c>
      <c r="H251" s="120">
        <f t="shared" si="16"/>
        <v>45992</v>
      </c>
      <c r="I251" s="1">
        <v>8.0208999999999993</v>
      </c>
      <c r="J251" s="1">
        <f>'Raw Data'!K251/Inv_SY!J$2</f>
        <v>0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8"/>
        <v/>
      </c>
      <c r="Z251" s="1">
        <f t="shared" si="19"/>
        <v>0</v>
      </c>
    </row>
    <row r="252" spans="1:26" x14ac:dyDescent="0.3">
      <c r="A252" s="236"/>
      <c r="B252" s="236"/>
      <c r="C252" s="236">
        <f>YEAR(Table12[[#This Row],[Date]])</f>
        <v>2025</v>
      </c>
      <c r="D252" s="236"/>
      <c r="E252" s="236"/>
      <c r="F252" s="237" t="str">
        <f>TEXT(Table12[[#This Row],[Date]],"mmm-yy")</f>
        <v>Dec-25</v>
      </c>
      <c r="G252" s="236">
        <f t="shared" si="17"/>
        <v>31</v>
      </c>
      <c r="H252" s="120">
        <f t="shared" si="16"/>
        <v>45993</v>
      </c>
      <c r="I252" s="1">
        <v>8.0208999999999993</v>
      </c>
      <c r="J252" s="1">
        <f>'Raw Data'!K252/Inv_SY!J$2</f>
        <v>0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8"/>
        <v/>
      </c>
      <c r="Z252" s="1">
        <f t="shared" si="19"/>
        <v>0</v>
      </c>
    </row>
    <row r="253" spans="1:26" x14ac:dyDescent="0.3">
      <c r="A253" s="236"/>
      <c r="B253" s="236"/>
      <c r="C253" s="236">
        <f>YEAR(Table12[[#This Row],[Date]])</f>
        <v>2025</v>
      </c>
      <c r="D253" s="236"/>
      <c r="E253" s="236"/>
      <c r="F253" s="237" t="str">
        <f>TEXT(Table12[[#This Row],[Date]],"mmm-yy")</f>
        <v>Dec-25</v>
      </c>
      <c r="G253" s="236">
        <f t="shared" si="17"/>
        <v>31</v>
      </c>
      <c r="H253" s="120">
        <f t="shared" si="16"/>
        <v>45994</v>
      </c>
      <c r="I253" s="1">
        <v>8.0208999999999993</v>
      </c>
      <c r="J253" s="1">
        <f>'Raw Data'!K253/Inv_SY!J$2</f>
        <v>0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8"/>
        <v/>
      </c>
      <c r="Z253" s="1">
        <f t="shared" si="19"/>
        <v>0</v>
      </c>
    </row>
    <row r="254" spans="1:26" x14ac:dyDescent="0.3">
      <c r="A254" s="236"/>
      <c r="B254" s="236"/>
      <c r="C254" s="236">
        <f>YEAR(Table12[[#This Row],[Date]])</f>
        <v>2025</v>
      </c>
      <c r="D254" s="236"/>
      <c r="E254" s="236"/>
      <c r="F254" s="237" t="str">
        <f>TEXT(Table12[[#This Row],[Date]],"mmm-yy")</f>
        <v>Dec-25</v>
      </c>
      <c r="G254" s="236">
        <f t="shared" si="17"/>
        <v>31</v>
      </c>
      <c r="H254" s="120">
        <f t="shared" si="16"/>
        <v>45995</v>
      </c>
      <c r="I254" s="1">
        <v>8.0208999999999993</v>
      </c>
      <c r="J254" s="1">
        <f>'Raw Data'!K254/Inv_SY!J$2</f>
        <v>0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8"/>
        <v/>
      </c>
      <c r="Z254" s="1">
        <f t="shared" si="19"/>
        <v>0</v>
      </c>
    </row>
    <row r="255" spans="1:26" x14ac:dyDescent="0.3">
      <c r="A255" s="236"/>
      <c r="B255" s="236"/>
      <c r="C255" s="236">
        <f>YEAR(Table12[[#This Row],[Date]])</f>
        <v>2025</v>
      </c>
      <c r="D255" s="236"/>
      <c r="E255" s="236"/>
      <c r="F255" s="237" t="str">
        <f>TEXT(Table12[[#This Row],[Date]],"mmm-yy")</f>
        <v>Dec-25</v>
      </c>
      <c r="G255" s="236">
        <f t="shared" si="17"/>
        <v>31</v>
      </c>
      <c r="H255" s="120">
        <f t="shared" si="16"/>
        <v>45996</v>
      </c>
      <c r="I255" s="1">
        <v>8.0208999999999993</v>
      </c>
      <c r="J255" s="1">
        <f>'Raw Data'!K255/Inv_SY!J$2</f>
        <v>0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8"/>
        <v/>
      </c>
      <c r="Z255" s="1">
        <f t="shared" si="19"/>
        <v>0</v>
      </c>
    </row>
    <row r="256" spans="1:26" x14ac:dyDescent="0.3">
      <c r="A256" s="236"/>
      <c r="B256" s="236"/>
      <c r="C256" s="236">
        <f>YEAR(Table12[[#This Row],[Date]])</f>
        <v>2025</v>
      </c>
      <c r="D256" s="236"/>
      <c r="E256" s="236"/>
      <c r="F256" s="237" t="str">
        <f>TEXT(Table12[[#This Row],[Date]],"mmm-yy")</f>
        <v>Dec-25</v>
      </c>
      <c r="G256" s="236">
        <f t="shared" si="17"/>
        <v>31</v>
      </c>
      <c r="H256" s="120">
        <f t="shared" si="16"/>
        <v>45997</v>
      </c>
      <c r="I256" s="1">
        <v>8.0208999999999993</v>
      </c>
      <c r="J256" s="1">
        <f>'Raw Data'!K256/Inv_SY!J$2</f>
        <v>0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8"/>
        <v/>
      </c>
      <c r="Z256" s="1">
        <f t="shared" si="19"/>
        <v>0</v>
      </c>
    </row>
    <row r="257" spans="1:26" x14ac:dyDescent="0.3">
      <c r="A257" s="236"/>
      <c r="B257" s="236"/>
      <c r="C257" s="236">
        <f>YEAR(Table12[[#This Row],[Date]])</f>
        <v>2025</v>
      </c>
      <c r="D257" s="236"/>
      <c r="E257" s="236"/>
      <c r="F257" s="237" t="str">
        <f>TEXT(Table12[[#This Row],[Date]],"mmm-yy")</f>
        <v>Dec-25</v>
      </c>
      <c r="G257" s="236">
        <f t="shared" si="17"/>
        <v>31</v>
      </c>
      <c r="H257" s="120">
        <f t="shared" si="16"/>
        <v>45998</v>
      </c>
      <c r="I257" s="1">
        <v>8.0208999999999993</v>
      </c>
      <c r="J257" s="1">
        <f>'Raw Data'!K257/Inv_SY!J$2</f>
        <v>0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8"/>
        <v/>
      </c>
      <c r="Z257" s="1">
        <f t="shared" si="19"/>
        <v>0</v>
      </c>
    </row>
    <row r="258" spans="1:26" x14ac:dyDescent="0.3">
      <c r="A258" s="236"/>
      <c r="B258" s="236"/>
      <c r="C258" s="236">
        <f>YEAR(Table12[[#This Row],[Date]])</f>
        <v>2025</v>
      </c>
      <c r="D258" s="236"/>
      <c r="E258" s="236"/>
      <c r="F258" s="237" t="str">
        <f>TEXT(Table12[[#This Row],[Date]],"mmm-yy")</f>
        <v>Dec-25</v>
      </c>
      <c r="G258" s="236">
        <f t="shared" si="17"/>
        <v>31</v>
      </c>
      <c r="H258" s="120">
        <f t="shared" si="16"/>
        <v>45999</v>
      </c>
      <c r="I258" s="1">
        <v>8.0208999999999993</v>
      </c>
      <c r="J258" s="1">
        <f>'Raw Data'!K258/Inv_SY!J$2</f>
        <v>0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8"/>
        <v/>
      </c>
      <c r="Z258" s="1">
        <f t="shared" si="19"/>
        <v>0</v>
      </c>
    </row>
    <row r="259" spans="1:26" x14ac:dyDescent="0.3">
      <c r="A259" s="236"/>
      <c r="B259" s="236"/>
      <c r="C259" s="236">
        <f>YEAR(Table12[[#This Row],[Date]])</f>
        <v>2025</v>
      </c>
      <c r="D259" s="236"/>
      <c r="E259" s="236"/>
      <c r="F259" s="237" t="str">
        <f>TEXT(Table12[[#This Row],[Date]],"mmm-yy")</f>
        <v>Dec-25</v>
      </c>
      <c r="G259" s="236">
        <f t="shared" si="17"/>
        <v>31</v>
      </c>
      <c r="H259" s="120">
        <f t="shared" si="16"/>
        <v>46000</v>
      </c>
      <c r="I259" s="1">
        <v>8.0208999999999993</v>
      </c>
      <c r="J259" s="1">
        <f>'Raw Data'!K259/Inv_SY!J$2</f>
        <v>0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8"/>
        <v/>
      </c>
      <c r="Z259" s="1">
        <f t="shared" si="19"/>
        <v>0</v>
      </c>
    </row>
    <row r="260" spans="1:26" x14ac:dyDescent="0.3">
      <c r="A260" s="236"/>
      <c r="B260" s="236"/>
      <c r="C260" s="236">
        <f>YEAR(Table12[[#This Row],[Date]])</f>
        <v>2025</v>
      </c>
      <c r="D260" s="236"/>
      <c r="E260" s="236"/>
      <c r="F260" s="237" t="str">
        <f>TEXT(Table12[[#This Row],[Date]],"mmm-yy")</f>
        <v>Dec-25</v>
      </c>
      <c r="G260" s="236">
        <f t="shared" si="17"/>
        <v>31</v>
      </c>
      <c r="H260" s="120">
        <f t="shared" si="16"/>
        <v>46001</v>
      </c>
      <c r="I260" s="1">
        <v>8.0208999999999993</v>
      </c>
      <c r="J260" s="1">
        <f>'Raw Data'!K260/Inv_SY!J$2</f>
        <v>0</v>
      </c>
      <c r="K260" s="1">
        <f>'Raw Data'!L260/Inv_SY!K$2</f>
        <v>0</v>
      </c>
      <c r="L260" s="1">
        <f>'Raw Data'!M260/Inv_SY!L$2</f>
        <v>0</v>
      </c>
      <c r="M260" s="1">
        <f>'Raw Data'!N260/Inv_SY!M$2</f>
        <v>0</v>
      </c>
      <c r="N260" s="1">
        <f>'Raw Data'!O260/Inv_SY!N$2</f>
        <v>0</v>
      </c>
      <c r="O260" s="1">
        <f>'Raw Data'!P260/Inv_SY!O$2</f>
        <v>0</v>
      </c>
      <c r="P260" s="1">
        <f>'Raw Data'!Q260/Inv_SY!P$2</f>
        <v>0</v>
      </c>
      <c r="Q260" s="1">
        <f>'Raw Data'!R260/Inv_SY!Q$2</f>
        <v>0</v>
      </c>
      <c r="R260" s="1">
        <f>'Raw Data'!S260/Inv_SY!R$2</f>
        <v>0</v>
      </c>
      <c r="S260" s="1">
        <f>'Raw Data'!T260/Inv_SY!S$2</f>
        <v>0</v>
      </c>
      <c r="T260" s="1">
        <f>'Raw Data'!U260/Inv_SY!T$2</f>
        <v>0</v>
      </c>
      <c r="U260" s="1">
        <f>'Raw Data'!V260/Inv_SY!U$2</f>
        <v>0</v>
      </c>
      <c r="V260" s="1">
        <f>'Raw Data'!W260/Inv_SY!V$2</f>
        <v>0</v>
      </c>
      <c r="W260" s="1">
        <f>'Raw Data'!X260/Inv_SY!W$2</f>
        <v>0</v>
      </c>
      <c r="X260" s="1">
        <f>'Raw Data'!Y260/Inv_SY!X$2</f>
        <v>0</v>
      </c>
      <c r="Y260" s="1" t="str">
        <f t="shared" si="18"/>
        <v/>
      </c>
      <c r="Z260" s="1">
        <f t="shared" si="19"/>
        <v>0</v>
      </c>
    </row>
    <row r="261" spans="1:26" x14ac:dyDescent="0.3">
      <c r="A261" s="236"/>
      <c r="B261" s="236"/>
      <c r="C261" s="236">
        <f>YEAR(Table12[[#This Row],[Date]])</f>
        <v>2025</v>
      </c>
      <c r="D261" s="236"/>
      <c r="E261" s="236"/>
      <c r="F261" s="237" t="str">
        <f>TEXT(Table12[[#This Row],[Date]],"mmm-yy")</f>
        <v>Dec-25</v>
      </c>
      <c r="G261" s="236">
        <f t="shared" si="17"/>
        <v>31</v>
      </c>
      <c r="H261" s="120">
        <f t="shared" ref="H261:H324" si="20">H260+1</f>
        <v>46002</v>
      </c>
      <c r="I261" s="1">
        <v>8.0208999999999993</v>
      </c>
      <c r="J261" s="1">
        <f>'Raw Data'!K261/Inv_SY!J$2</f>
        <v>0</v>
      </c>
      <c r="K261" s="1">
        <f>'Raw Data'!L261/Inv_SY!K$2</f>
        <v>0</v>
      </c>
      <c r="L261" s="1">
        <f>'Raw Data'!M261/Inv_SY!L$2</f>
        <v>0</v>
      </c>
      <c r="M261" s="1">
        <f>'Raw Data'!N261/Inv_SY!M$2</f>
        <v>0</v>
      </c>
      <c r="N261" s="1">
        <f>'Raw Data'!O261/Inv_SY!N$2</f>
        <v>0</v>
      </c>
      <c r="O261" s="1">
        <f>'Raw Data'!P261/Inv_SY!O$2</f>
        <v>0</v>
      </c>
      <c r="P261" s="1">
        <f>'Raw Data'!Q261/Inv_SY!P$2</f>
        <v>0</v>
      </c>
      <c r="Q261" s="1">
        <f>'Raw Data'!R261/Inv_SY!Q$2</f>
        <v>0</v>
      </c>
      <c r="R261" s="1">
        <f>'Raw Data'!S261/Inv_SY!R$2</f>
        <v>0</v>
      </c>
      <c r="S261" s="1">
        <f>'Raw Data'!T261/Inv_SY!S$2</f>
        <v>0</v>
      </c>
      <c r="T261" s="1">
        <f>'Raw Data'!U261/Inv_SY!T$2</f>
        <v>0</v>
      </c>
      <c r="U261" s="1">
        <f>'Raw Data'!V261/Inv_SY!U$2</f>
        <v>0</v>
      </c>
      <c r="V261" s="1">
        <f>'Raw Data'!W261/Inv_SY!V$2</f>
        <v>0</v>
      </c>
      <c r="W261" s="1">
        <f>'Raw Data'!X261/Inv_SY!W$2</f>
        <v>0</v>
      </c>
      <c r="X261" s="1">
        <f>'Raw Data'!Y261/Inv_SY!X$2</f>
        <v>0</v>
      </c>
      <c r="Y261" s="1" t="str">
        <f t="shared" si="18"/>
        <v/>
      </c>
      <c r="Z261" s="1">
        <f t="shared" si="19"/>
        <v>0</v>
      </c>
    </row>
    <row r="262" spans="1:26" x14ac:dyDescent="0.3">
      <c r="A262" s="236"/>
      <c r="B262" s="236"/>
      <c r="C262" s="236">
        <f>YEAR(Table12[[#This Row],[Date]])</f>
        <v>2025</v>
      </c>
      <c r="D262" s="236"/>
      <c r="E262" s="236"/>
      <c r="F262" s="237" t="str">
        <f>TEXT(Table12[[#This Row],[Date]],"mmm-yy")</f>
        <v>Dec-25</v>
      </c>
      <c r="G262" s="236">
        <f t="shared" si="17"/>
        <v>31</v>
      </c>
      <c r="H262" s="120">
        <f t="shared" si="20"/>
        <v>46003</v>
      </c>
      <c r="I262" s="1">
        <v>8.0208999999999993</v>
      </c>
      <c r="J262" s="1">
        <f>'Raw Data'!K262/Inv_SY!J$2</f>
        <v>0</v>
      </c>
      <c r="K262" s="1">
        <f>'Raw Data'!L262/Inv_SY!K$2</f>
        <v>0</v>
      </c>
      <c r="L262" s="1">
        <f>'Raw Data'!M262/Inv_SY!L$2</f>
        <v>0</v>
      </c>
      <c r="M262" s="1">
        <f>'Raw Data'!N262/Inv_SY!M$2</f>
        <v>0</v>
      </c>
      <c r="N262" s="1">
        <f>'Raw Data'!O262/Inv_SY!N$2</f>
        <v>0</v>
      </c>
      <c r="O262" s="1">
        <f>'Raw Data'!P262/Inv_SY!O$2</f>
        <v>0</v>
      </c>
      <c r="P262" s="1">
        <f>'Raw Data'!Q262/Inv_SY!P$2</f>
        <v>0</v>
      </c>
      <c r="Q262" s="1">
        <f>'Raw Data'!R262/Inv_SY!Q$2</f>
        <v>0</v>
      </c>
      <c r="R262" s="1">
        <f>'Raw Data'!S262/Inv_SY!R$2</f>
        <v>0</v>
      </c>
      <c r="S262" s="1">
        <f>'Raw Data'!T262/Inv_SY!S$2</f>
        <v>0</v>
      </c>
      <c r="T262" s="1">
        <f>'Raw Data'!U262/Inv_SY!T$2</f>
        <v>0</v>
      </c>
      <c r="U262" s="1">
        <f>'Raw Data'!V262/Inv_SY!U$2</f>
        <v>0</v>
      </c>
      <c r="V262" s="1">
        <f>'Raw Data'!W262/Inv_SY!V$2</f>
        <v>0</v>
      </c>
      <c r="W262" s="1">
        <f>'Raw Data'!X262/Inv_SY!W$2</f>
        <v>0</v>
      </c>
      <c r="X262" s="1">
        <f>'Raw Data'!Y262/Inv_SY!X$2</f>
        <v>0</v>
      </c>
      <c r="Y262" s="1" t="str">
        <f t="shared" si="18"/>
        <v/>
      </c>
      <c r="Z262" s="1">
        <f t="shared" si="19"/>
        <v>0</v>
      </c>
    </row>
    <row r="263" spans="1:26" x14ac:dyDescent="0.3">
      <c r="A263" s="236"/>
      <c r="B263" s="236"/>
      <c r="C263" s="236">
        <f>YEAR(Table12[[#This Row],[Date]])</f>
        <v>2025</v>
      </c>
      <c r="D263" s="236"/>
      <c r="E263" s="236"/>
      <c r="F263" s="237" t="str">
        <f>TEXT(Table12[[#This Row],[Date]],"mmm-yy")</f>
        <v>Dec-25</v>
      </c>
      <c r="G263" s="236">
        <f t="shared" si="17"/>
        <v>31</v>
      </c>
      <c r="H263" s="120">
        <f t="shared" si="20"/>
        <v>46004</v>
      </c>
      <c r="I263" s="1">
        <v>8.0208999999999993</v>
      </c>
      <c r="J263" s="1">
        <f>'Raw Data'!K263/Inv_SY!J$2</f>
        <v>0</v>
      </c>
      <c r="K263" s="1">
        <f>'Raw Data'!L263/Inv_SY!K$2</f>
        <v>0</v>
      </c>
      <c r="L263" s="1">
        <f>'Raw Data'!M263/Inv_SY!L$2</f>
        <v>0</v>
      </c>
      <c r="M263" s="1">
        <f>'Raw Data'!N263/Inv_SY!M$2</f>
        <v>0</v>
      </c>
      <c r="N263" s="1">
        <f>'Raw Data'!O263/Inv_SY!N$2</f>
        <v>0</v>
      </c>
      <c r="O263" s="1">
        <f>'Raw Data'!P263/Inv_SY!O$2</f>
        <v>0</v>
      </c>
      <c r="P263" s="1">
        <f>'Raw Data'!Q263/Inv_SY!P$2</f>
        <v>0</v>
      </c>
      <c r="Q263" s="1">
        <f>'Raw Data'!R263/Inv_SY!Q$2</f>
        <v>0</v>
      </c>
      <c r="R263" s="1">
        <f>'Raw Data'!S263/Inv_SY!R$2</f>
        <v>0</v>
      </c>
      <c r="S263" s="1">
        <f>'Raw Data'!T263/Inv_SY!S$2</f>
        <v>0</v>
      </c>
      <c r="T263" s="1">
        <f>'Raw Data'!U263/Inv_SY!T$2</f>
        <v>0</v>
      </c>
      <c r="U263" s="1">
        <f>'Raw Data'!V263/Inv_SY!U$2</f>
        <v>0</v>
      </c>
      <c r="V263" s="1">
        <f>'Raw Data'!W263/Inv_SY!V$2</f>
        <v>0</v>
      </c>
      <c r="W263" s="1">
        <f>'Raw Data'!X263/Inv_SY!W$2</f>
        <v>0</v>
      </c>
      <c r="X263" s="1">
        <f>'Raw Data'!Y263/Inv_SY!X$2</f>
        <v>0</v>
      </c>
      <c r="Y263" s="1" t="str">
        <f t="shared" si="18"/>
        <v/>
      </c>
      <c r="Z263" s="1">
        <f t="shared" si="19"/>
        <v>0</v>
      </c>
    </row>
    <row r="264" spans="1:26" x14ac:dyDescent="0.3">
      <c r="A264" s="236"/>
      <c r="B264" s="236"/>
      <c r="C264" s="236">
        <f>YEAR(Table12[[#This Row],[Date]])</f>
        <v>2025</v>
      </c>
      <c r="D264" s="236"/>
      <c r="E264" s="236"/>
      <c r="F264" s="237" t="str">
        <f>TEXT(Table12[[#This Row],[Date]],"mmm-yy")</f>
        <v>Dec-25</v>
      </c>
      <c r="G264" s="236">
        <f t="shared" si="17"/>
        <v>31</v>
      </c>
      <c r="H264" s="120">
        <f t="shared" si="20"/>
        <v>46005</v>
      </c>
      <c r="I264" s="1">
        <v>8.0208999999999993</v>
      </c>
      <c r="J264" s="1">
        <f>'Raw Data'!K264/Inv_SY!J$2</f>
        <v>0</v>
      </c>
      <c r="K264" s="1">
        <f>'Raw Data'!L264/Inv_SY!K$2</f>
        <v>0</v>
      </c>
      <c r="L264" s="1">
        <f>'Raw Data'!M264/Inv_SY!L$2</f>
        <v>0</v>
      </c>
      <c r="M264" s="1">
        <f>'Raw Data'!N264/Inv_SY!M$2</f>
        <v>0</v>
      </c>
      <c r="N264" s="1">
        <f>'Raw Data'!O264/Inv_SY!N$2</f>
        <v>0</v>
      </c>
      <c r="O264" s="1">
        <f>'Raw Data'!P264/Inv_SY!O$2</f>
        <v>0</v>
      </c>
      <c r="P264" s="1">
        <f>'Raw Data'!Q264/Inv_SY!P$2</f>
        <v>0</v>
      </c>
      <c r="Q264" s="1">
        <f>'Raw Data'!R264/Inv_SY!Q$2</f>
        <v>0</v>
      </c>
      <c r="R264" s="1">
        <f>'Raw Data'!S264/Inv_SY!R$2</f>
        <v>0</v>
      </c>
      <c r="S264" s="1">
        <f>'Raw Data'!T264/Inv_SY!S$2</f>
        <v>0</v>
      </c>
      <c r="T264" s="1">
        <f>'Raw Data'!U264/Inv_SY!T$2</f>
        <v>0</v>
      </c>
      <c r="U264" s="1">
        <f>'Raw Data'!V264/Inv_SY!U$2</f>
        <v>0</v>
      </c>
      <c r="V264" s="1">
        <f>'Raw Data'!W264/Inv_SY!V$2</f>
        <v>0</v>
      </c>
      <c r="W264" s="1">
        <f>'Raw Data'!X264/Inv_SY!W$2</f>
        <v>0</v>
      </c>
      <c r="X264" s="1">
        <f>'Raw Data'!Y264/Inv_SY!X$2</f>
        <v>0</v>
      </c>
      <c r="Y264" s="1" t="str">
        <f t="shared" si="18"/>
        <v/>
      </c>
      <c r="Z264" s="1">
        <f t="shared" si="19"/>
        <v>0</v>
      </c>
    </row>
    <row r="265" spans="1:26" x14ac:dyDescent="0.3">
      <c r="A265" s="236"/>
      <c r="B265" s="236"/>
      <c r="C265" s="236">
        <f>YEAR(Table12[[#This Row],[Date]])</f>
        <v>2025</v>
      </c>
      <c r="D265" s="236"/>
      <c r="E265" s="236"/>
      <c r="F265" s="237" t="str">
        <f>TEXT(Table12[[#This Row],[Date]],"mmm-yy")</f>
        <v>Dec-25</v>
      </c>
      <c r="G265" s="236">
        <f t="shared" si="17"/>
        <v>31</v>
      </c>
      <c r="H265" s="120">
        <f t="shared" si="20"/>
        <v>46006</v>
      </c>
      <c r="I265" s="1">
        <v>8.0208999999999993</v>
      </c>
      <c r="J265" s="1">
        <f>'Raw Data'!K265/Inv_SY!J$2</f>
        <v>0</v>
      </c>
      <c r="K265" s="1">
        <f>'Raw Data'!L265/Inv_SY!K$2</f>
        <v>0</v>
      </c>
      <c r="L265" s="1">
        <f>'Raw Data'!M265/Inv_SY!L$2</f>
        <v>0</v>
      </c>
      <c r="M265" s="1">
        <f>'Raw Data'!N265/Inv_SY!M$2</f>
        <v>0</v>
      </c>
      <c r="N265" s="1">
        <f>'Raw Data'!O265/Inv_SY!N$2</f>
        <v>0</v>
      </c>
      <c r="O265" s="1">
        <f>'Raw Data'!P265/Inv_SY!O$2</f>
        <v>0</v>
      </c>
      <c r="P265" s="1">
        <f>'Raw Data'!Q265/Inv_SY!P$2</f>
        <v>0</v>
      </c>
      <c r="Q265" s="1">
        <f>'Raw Data'!R265/Inv_SY!Q$2</f>
        <v>0</v>
      </c>
      <c r="R265" s="1">
        <f>'Raw Data'!S265/Inv_SY!R$2</f>
        <v>0</v>
      </c>
      <c r="S265" s="1">
        <f>'Raw Data'!T265/Inv_SY!S$2</f>
        <v>0</v>
      </c>
      <c r="T265" s="1">
        <f>'Raw Data'!U265/Inv_SY!T$2</f>
        <v>0</v>
      </c>
      <c r="U265" s="1">
        <f>'Raw Data'!V265/Inv_SY!U$2</f>
        <v>0</v>
      </c>
      <c r="V265" s="1">
        <f>'Raw Data'!W265/Inv_SY!V$2</f>
        <v>0</v>
      </c>
      <c r="W265" s="1">
        <f>'Raw Data'!X265/Inv_SY!W$2</f>
        <v>0</v>
      </c>
      <c r="X265" s="1">
        <f>'Raw Data'!Y265/Inv_SY!X$2</f>
        <v>0</v>
      </c>
      <c r="Y265" s="1" t="str">
        <f t="shared" si="18"/>
        <v/>
      </c>
      <c r="Z265" s="1">
        <f t="shared" si="19"/>
        <v>0</v>
      </c>
    </row>
    <row r="266" spans="1:26" x14ac:dyDescent="0.3">
      <c r="A266" s="236"/>
      <c r="B266" s="236"/>
      <c r="C266" s="236">
        <f>YEAR(Table12[[#This Row],[Date]])</f>
        <v>2025</v>
      </c>
      <c r="D266" s="236"/>
      <c r="E266" s="236"/>
      <c r="F266" s="237" t="str">
        <f>TEXT(Table12[[#This Row],[Date]],"mmm-yy")</f>
        <v>Dec-25</v>
      </c>
      <c r="G266" s="236">
        <f t="shared" si="17"/>
        <v>31</v>
      </c>
      <c r="H266" s="120">
        <f t="shared" si="20"/>
        <v>46007</v>
      </c>
      <c r="I266" s="1">
        <v>8.0208999999999993</v>
      </c>
      <c r="J266" s="1">
        <f>'Raw Data'!K266/Inv_SY!J$2</f>
        <v>0</v>
      </c>
      <c r="K266" s="1">
        <f>'Raw Data'!L266/Inv_SY!K$2</f>
        <v>0</v>
      </c>
      <c r="L266" s="1">
        <f>'Raw Data'!M266/Inv_SY!L$2</f>
        <v>0</v>
      </c>
      <c r="M266" s="1">
        <f>'Raw Data'!N266/Inv_SY!M$2</f>
        <v>0</v>
      </c>
      <c r="N266" s="1">
        <f>'Raw Data'!O266/Inv_SY!N$2</f>
        <v>0</v>
      </c>
      <c r="O266" s="1">
        <f>'Raw Data'!P266/Inv_SY!O$2</f>
        <v>0</v>
      </c>
      <c r="P266" s="1">
        <f>'Raw Data'!Q266/Inv_SY!P$2</f>
        <v>0</v>
      </c>
      <c r="Q266" s="1">
        <f>'Raw Data'!R266/Inv_SY!Q$2</f>
        <v>0</v>
      </c>
      <c r="R266" s="1">
        <f>'Raw Data'!S266/Inv_SY!R$2</f>
        <v>0</v>
      </c>
      <c r="S266" s="1">
        <f>'Raw Data'!T266/Inv_SY!S$2</f>
        <v>0</v>
      </c>
      <c r="T266" s="1">
        <f>'Raw Data'!U266/Inv_SY!T$2</f>
        <v>0</v>
      </c>
      <c r="U266" s="1">
        <f>'Raw Data'!V266/Inv_SY!U$2</f>
        <v>0</v>
      </c>
      <c r="V266" s="1">
        <f>'Raw Data'!W266/Inv_SY!V$2</f>
        <v>0</v>
      </c>
      <c r="W266" s="1">
        <f>'Raw Data'!X266/Inv_SY!W$2</f>
        <v>0</v>
      </c>
      <c r="X266" s="1">
        <f>'Raw Data'!Y266/Inv_SY!X$2</f>
        <v>0</v>
      </c>
      <c r="Y266" s="1" t="str">
        <f t="shared" si="18"/>
        <v/>
      </c>
      <c r="Z266" s="1">
        <f t="shared" si="19"/>
        <v>0</v>
      </c>
    </row>
    <row r="267" spans="1:26" x14ac:dyDescent="0.3">
      <c r="A267" s="236"/>
      <c r="B267" s="236"/>
      <c r="C267" s="236">
        <f>YEAR(Table12[[#This Row],[Date]])</f>
        <v>2025</v>
      </c>
      <c r="D267" s="236"/>
      <c r="E267" s="236"/>
      <c r="F267" s="237" t="str">
        <f>TEXT(Table12[[#This Row],[Date]],"mmm-yy")</f>
        <v>Dec-25</v>
      </c>
      <c r="G267" s="236">
        <f t="shared" si="17"/>
        <v>31</v>
      </c>
      <c r="H267" s="120">
        <f t="shared" si="20"/>
        <v>46008</v>
      </c>
      <c r="I267" s="1">
        <v>8.0208999999999993</v>
      </c>
      <c r="J267" s="1">
        <f>'Raw Data'!K267/Inv_SY!J$2</f>
        <v>0</v>
      </c>
      <c r="K267" s="1">
        <f>'Raw Data'!L267/Inv_SY!K$2</f>
        <v>0</v>
      </c>
      <c r="L267" s="1">
        <f>'Raw Data'!M267/Inv_SY!L$2</f>
        <v>0</v>
      </c>
      <c r="M267" s="1">
        <f>'Raw Data'!N267/Inv_SY!M$2</f>
        <v>0</v>
      </c>
      <c r="N267" s="1">
        <f>'Raw Data'!O267/Inv_SY!N$2</f>
        <v>0</v>
      </c>
      <c r="O267" s="1">
        <f>'Raw Data'!P267/Inv_SY!O$2</f>
        <v>0</v>
      </c>
      <c r="P267" s="1">
        <f>'Raw Data'!Q267/Inv_SY!P$2</f>
        <v>0</v>
      </c>
      <c r="Q267" s="1">
        <f>'Raw Data'!R267/Inv_SY!Q$2</f>
        <v>0</v>
      </c>
      <c r="R267" s="1">
        <f>'Raw Data'!S267/Inv_SY!R$2</f>
        <v>0</v>
      </c>
      <c r="S267" s="1">
        <f>'Raw Data'!T267/Inv_SY!S$2</f>
        <v>0</v>
      </c>
      <c r="T267" s="1">
        <f>'Raw Data'!U267/Inv_SY!T$2</f>
        <v>0</v>
      </c>
      <c r="U267" s="1">
        <f>'Raw Data'!V267/Inv_SY!U$2</f>
        <v>0</v>
      </c>
      <c r="V267" s="1">
        <f>'Raw Data'!W267/Inv_SY!V$2</f>
        <v>0</v>
      </c>
      <c r="W267" s="1">
        <f>'Raw Data'!X267/Inv_SY!W$2</f>
        <v>0</v>
      </c>
      <c r="X267" s="1">
        <f>'Raw Data'!Y267/Inv_SY!X$2</f>
        <v>0</v>
      </c>
      <c r="Y267" s="1" t="str">
        <f t="shared" si="18"/>
        <v/>
      </c>
      <c r="Z267" s="1">
        <f t="shared" si="19"/>
        <v>0</v>
      </c>
    </row>
    <row r="268" spans="1:26" x14ac:dyDescent="0.3">
      <c r="A268" s="236"/>
      <c r="B268" s="236"/>
      <c r="C268" s="236">
        <f>YEAR(Table12[[#This Row],[Date]])</f>
        <v>2025</v>
      </c>
      <c r="D268" s="236"/>
      <c r="E268" s="236"/>
      <c r="F268" s="237" t="str">
        <f>TEXT(Table12[[#This Row],[Date]],"mmm-yy")</f>
        <v>Dec-25</v>
      </c>
      <c r="G268" s="236">
        <f t="shared" si="17"/>
        <v>31</v>
      </c>
      <c r="H268" s="120">
        <f t="shared" si="20"/>
        <v>46009</v>
      </c>
      <c r="I268" s="1">
        <v>8.0208999999999993</v>
      </c>
      <c r="J268" s="1">
        <f>'Raw Data'!K268/Inv_SY!J$2</f>
        <v>0</v>
      </c>
      <c r="K268" s="1">
        <f>'Raw Data'!L268/Inv_SY!K$2</f>
        <v>0</v>
      </c>
      <c r="L268" s="1">
        <f>'Raw Data'!M268/Inv_SY!L$2</f>
        <v>0</v>
      </c>
      <c r="M268" s="1">
        <f>'Raw Data'!N268/Inv_SY!M$2</f>
        <v>0</v>
      </c>
      <c r="N268" s="1">
        <f>'Raw Data'!O268/Inv_SY!N$2</f>
        <v>0</v>
      </c>
      <c r="O268" s="1">
        <f>'Raw Data'!P268/Inv_SY!O$2</f>
        <v>0</v>
      </c>
      <c r="P268" s="1">
        <f>'Raw Data'!Q268/Inv_SY!P$2</f>
        <v>0</v>
      </c>
      <c r="Q268" s="1">
        <f>'Raw Data'!R268/Inv_SY!Q$2</f>
        <v>0</v>
      </c>
      <c r="R268" s="1">
        <f>'Raw Data'!S268/Inv_SY!R$2</f>
        <v>0</v>
      </c>
      <c r="S268" s="1">
        <f>'Raw Data'!T268/Inv_SY!S$2</f>
        <v>0</v>
      </c>
      <c r="T268" s="1">
        <f>'Raw Data'!U268/Inv_SY!T$2</f>
        <v>0</v>
      </c>
      <c r="U268" s="1">
        <f>'Raw Data'!V268/Inv_SY!U$2</f>
        <v>0</v>
      </c>
      <c r="V268" s="1">
        <f>'Raw Data'!W268/Inv_SY!V$2</f>
        <v>0</v>
      </c>
      <c r="W268" s="1">
        <f>'Raw Data'!X268/Inv_SY!W$2</f>
        <v>0</v>
      </c>
      <c r="X268" s="1">
        <f>'Raw Data'!Y268/Inv_SY!X$2</f>
        <v>0</v>
      </c>
      <c r="Y268" s="1" t="str">
        <f t="shared" si="18"/>
        <v/>
      </c>
      <c r="Z268" s="1">
        <f t="shared" si="19"/>
        <v>0</v>
      </c>
    </row>
    <row r="269" spans="1:26" x14ac:dyDescent="0.3">
      <c r="A269" s="236"/>
      <c r="B269" s="236"/>
      <c r="C269" s="236">
        <f>YEAR(Table12[[#This Row],[Date]])</f>
        <v>2025</v>
      </c>
      <c r="D269" s="236"/>
      <c r="E269" s="236"/>
      <c r="F269" s="237" t="str">
        <f>TEXT(Table12[[#This Row],[Date]],"mmm-yy")</f>
        <v>Dec-25</v>
      </c>
      <c r="G269" s="236">
        <f t="shared" si="17"/>
        <v>31</v>
      </c>
      <c r="H269" s="120">
        <f t="shared" si="20"/>
        <v>46010</v>
      </c>
      <c r="I269" s="1">
        <v>8.0208999999999993</v>
      </c>
      <c r="J269" s="1">
        <f>'Raw Data'!K269/Inv_SY!J$2</f>
        <v>0</v>
      </c>
      <c r="K269" s="1">
        <f>'Raw Data'!L269/Inv_SY!K$2</f>
        <v>0</v>
      </c>
      <c r="L269" s="1">
        <f>'Raw Data'!M269/Inv_SY!L$2</f>
        <v>0</v>
      </c>
      <c r="M269" s="1">
        <f>'Raw Data'!N269/Inv_SY!M$2</f>
        <v>0</v>
      </c>
      <c r="N269" s="1">
        <f>'Raw Data'!O269/Inv_SY!N$2</f>
        <v>0</v>
      </c>
      <c r="O269" s="1">
        <f>'Raw Data'!P269/Inv_SY!O$2</f>
        <v>0</v>
      </c>
      <c r="P269" s="1">
        <f>'Raw Data'!Q269/Inv_SY!P$2</f>
        <v>0</v>
      </c>
      <c r="Q269" s="1">
        <f>'Raw Data'!R269/Inv_SY!Q$2</f>
        <v>0</v>
      </c>
      <c r="R269" s="1">
        <f>'Raw Data'!S269/Inv_SY!R$2</f>
        <v>0</v>
      </c>
      <c r="S269" s="1">
        <f>'Raw Data'!T269/Inv_SY!S$2</f>
        <v>0</v>
      </c>
      <c r="T269" s="1">
        <f>'Raw Data'!U269/Inv_SY!T$2</f>
        <v>0</v>
      </c>
      <c r="U269" s="1">
        <f>'Raw Data'!V269/Inv_SY!U$2</f>
        <v>0</v>
      </c>
      <c r="V269" s="1">
        <f>'Raw Data'!W269/Inv_SY!V$2</f>
        <v>0</v>
      </c>
      <c r="W269" s="1">
        <f>'Raw Data'!X269/Inv_SY!W$2</f>
        <v>0</v>
      </c>
      <c r="X269" s="1">
        <f>'Raw Data'!Y269/Inv_SY!X$2</f>
        <v>0</v>
      </c>
      <c r="Y269" s="1" t="str">
        <f t="shared" si="18"/>
        <v/>
      </c>
      <c r="Z269" s="1">
        <f t="shared" si="19"/>
        <v>0</v>
      </c>
    </row>
    <row r="270" spans="1:26" x14ac:dyDescent="0.3">
      <c r="A270" s="236"/>
      <c r="B270" s="236"/>
      <c r="C270" s="236">
        <f>YEAR(Table12[[#This Row],[Date]])</f>
        <v>2025</v>
      </c>
      <c r="D270" s="236"/>
      <c r="E270" s="236"/>
      <c r="F270" s="237" t="str">
        <f>TEXT(Table12[[#This Row],[Date]],"mmm-yy")</f>
        <v>Dec-25</v>
      </c>
      <c r="G270" s="236">
        <f t="shared" si="17"/>
        <v>31</v>
      </c>
      <c r="H270" s="120">
        <f t="shared" si="20"/>
        <v>46011</v>
      </c>
      <c r="I270" s="1">
        <v>8.0208999999999993</v>
      </c>
      <c r="J270" s="1">
        <f>'Raw Data'!K270/Inv_SY!J$2</f>
        <v>0</v>
      </c>
      <c r="K270" s="1">
        <f>'Raw Data'!L270/Inv_SY!K$2</f>
        <v>0</v>
      </c>
      <c r="L270" s="1">
        <f>'Raw Data'!M270/Inv_SY!L$2</f>
        <v>0</v>
      </c>
      <c r="M270" s="1">
        <f>'Raw Data'!N270/Inv_SY!M$2</f>
        <v>0</v>
      </c>
      <c r="N270" s="1">
        <f>'Raw Data'!O270/Inv_SY!N$2</f>
        <v>0</v>
      </c>
      <c r="O270" s="1">
        <f>'Raw Data'!P270/Inv_SY!O$2</f>
        <v>0</v>
      </c>
      <c r="P270" s="1">
        <f>'Raw Data'!Q270/Inv_SY!P$2</f>
        <v>0</v>
      </c>
      <c r="Q270" s="1">
        <f>'Raw Data'!R270/Inv_SY!Q$2</f>
        <v>0</v>
      </c>
      <c r="R270" s="1">
        <f>'Raw Data'!S270/Inv_SY!R$2</f>
        <v>0</v>
      </c>
      <c r="S270" s="1">
        <f>'Raw Data'!T270/Inv_SY!S$2</f>
        <v>0</v>
      </c>
      <c r="T270" s="1">
        <f>'Raw Data'!U270/Inv_SY!T$2</f>
        <v>0</v>
      </c>
      <c r="U270" s="1">
        <f>'Raw Data'!V270/Inv_SY!U$2</f>
        <v>0</v>
      </c>
      <c r="V270" s="1">
        <f>'Raw Data'!W270/Inv_SY!V$2</f>
        <v>0</v>
      </c>
      <c r="W270" s="1">
        <f>'Raw Data'!X270/Inv_SY!W$2</f>
        <v>0</v>
      </c>
      <c r="X270" s="1">
        <f>'Raw Data'!Y270/Inv_SY!X$2</f>
        <v>0</v>
      </c>
      <c r="Y270" s="1" t="str">
        <f t="shared" si="18"/>
        <v/>
      </c>
      <c r="Z270" s="1">
        <f t="shared" si="19"/>
        <v>0</v>
      </c>
    </row>
    <row r="271" spans="1:26" x14ac:dyDescent="0.3">
      <c r="A271" s="236"/>
      <c r="B271" s="236"/>
      <c r="C271" s="236">
        <f>YEAR(Table12[[#This Row],[Date]])</f>
        <v>2025</v>
      </c>
      <c r="D271" s="236"/>
      <c r="E271" s="236"/>
      <c r="F271" s="237" t="str">
        <f>TEXT(Table12[[#This Row],[Date]],"mmm-yy")</f>
        <v>Dec-25</v>
      </c>
      <c r="G271" s="236">
        <f t="shared" si="17"/>
        <v>31</v>
      </c>
      <c r="H271" s="120">
        <f t="shared" si="20"/>
        <v>46012</v>
      </c>
      <c r="I271" s="1">
        <v>8.0208999999999993</v>
      </c>
      <c r="J271" s="1">
        <f>'Raw Data'!K271/Inv_SY!J$2</f>
        <v>0</v>
      </c>
      <c r="K271" s="1">
        <f>'Raw Data'!L271/Inv_SY!K$2</f>
        <v>0</v>
      </c>
      <c r="L271" s="1">
        <f>'Raw Data'!M271/Inv_SY!L$2</f>
        <v>0</v>
      </c>
      <c r="M271" s="1">
        <f>'Raw Data'!N271/Inv_SY!M$2</f>
        <v>0</v>
      </c>
      <c r="N271" s="1">
        <f>'Raw Data'!O271/Inv_SY!N$2</f>
        <v>0</v>
      </c>
      <c r="O271" s="1">
        <f>'Raw Data'!P271/Inv_SY!O$2</f>
        <v>0</v>
      </c>
      <c r="P271" s="1">
        <f>'Raw Data'!Q271/Inv_SY!P$2</f>
        <v>0</v>
      </c>
      <c r="Q271" s="1">
        <f>'Raw Data'!R271/Inv_SY!Q$2</f>
        <v>0</v>
      </c>
      <c r="R271" s="1">
        <f>'Raw Data'!S271/Inv_SY!R$2</f>
        <v>0</v>
      </c>
      <c r="S271" s="1">
        <f>'Raw Data'!T271/Inv_SY!S$2</f>
        <v>0</v>
      </c>
      <c r="T271" s="1">
        <f>'Raw Data'!U271/Inv_SY!T$2</f>
        <v>0</v>
      </c>
      <c r="U271" s="1">
        <f>'Raw Data'!V271/Inv_SY!U$2</f>
        <v>0</v>
      </c>
      <c r="V271" s="1">
        <f>'Raw Data'!W271/Inv_SY!V$2</f>
        <v>0</v>
      </c>
      <c r="W271" s="1">
        <f>'Raw Data'!X271/Inv_SY!W$2</f>
        <v>0</v>
      </c>
      <c r="X271" s="1">
        <f>'Raw Data'!Y271/Inv_SY!X$2</f>
        <v>0</v>
      </c>
      <c r="Y271" s="1" t="str">
        <f t="shared" si="18"/>
        <v/>
      </c>
      <c r="Z271" s="1">
        <f t="shared" si="19"/>
        <v>0</v>
      </c>
    </row>
    <row r="272" spans="1:26" x14ac:dyDescent="0.3">
      <c r="A272" s="236"/>
      <c r="B272" s="236"/>
      <c r="C272" s="236">
        <f>YEAR(Table12[[#This Row],[Date]])</f>
        <v>2025</v>
      </c>
      <c r="D272" s="236"/>
      <c r="E272" s="236"/>
      <c r="F272" s="237" t="str">
        <f>TEXT(Table12[[#This Row],[Date]],"mmm-yy")</f>
        <v>Dec-25</v>
      </c>
      <c r="G272" s="236">
        <f t="shared" si="17"/>
        <v>31</v>
      </c>
      <c r="H272" s="120">
        <f t="shared" si="20"/>
        <v>46013</v>
      </c>
      <c r="I272" s="1">
        <v>8.0208999999999993</v>
      </c>
      <c r="J272" s="1">
        <f>'Raw Data'!K272/Inv_SY!J$2</f>
        <v>0</v>
      </c>
      <c r="K272" s="1">
        <f>'Raw Data'!L272/Inv_SY!K$2</f>
        <v>0</v>
      </c>
      <c r="L272" s="1">
        <f>'Raw Data'!M272/Inv_SY!L$2</f>
        <v>0</v>
      </c>
      <c r="M272" s="1">
        <f>'Raw Data'!N272/Inv_SY!M$2</f>
        <v>0</v>
      </c>
      <c r="N272" s="1">
        <f>'Raw Data'!O272/Inv_SY!N$2</f>
        <v>0</v>
      </c>
      <c r="O272" s="1">
        <f>'Raw Data'!P272/Inv_SY!O$2</f>
        <v>0</v>
      </c>
      <c r="P272" s="1">
        <f>'Raw Data'!Q272/Inv_SY!P$2</f>
        <v>0</v>
      </c>
      <c r="Q272" s="1">
        <f>'Raw Data'!R272/Inv_SY!Q$2</f>
        <v>0</v>
      </c>
      <c r="R272" s="1">
        <f>'Raw Data'!S272/Inv_SY!R$2</f>
        <v>0</v>
      </c>
      <c r="S272" s="1">
        <f>'Raw Data'!T272/Inv_SY!S$2</f>
        <v>0</v>
      </c>
      <c r="T272" s="1">
        <f>'Raw Data'!U272/Inv_SY!T$2</f>
        <v>0</v>
      </c>
      <c r="U272" s="1">
        <f>'Raw Data'!V272/Inv_SY!U$2</f>
        <v>0</v>
      </c>
      <c r="V272" s="1">
        <f>'Raw Data'!W272/Inv_SY!V$2</f>
        <v>0</v>
      </c>
      <c r="W272" s="1">
        <f>'Raw Data'!X272/Inv_SY!W$2</f>
        <v>0</v>
      </c>
      <c r="X272" s="1">
        <f>'Raw Data'!Y272/Inv_SY!X$2</f>
        <v>0</v>
      </c>
      <c r="Y272" s="1" t="str">
        <f t="shared" si="18"/>
        <v/>
      </c>
      <c r="Z272" s="1">
        <f t="shared" si="19"/>
        <v>0</v>
      </c>
    </row>
    <row r="273" spans="1:26" x14ac:dyDescent="0.3">
      <c r="A273" s="236"/>
      <c r="B273" s="236"/>
      <c r="C273" s="236">
        <f>YEAR(Table12[[#This Row],[Date]])</f>
        <v>2025</v>
      </c>
      <c r="D273" s="236"/>
      <c r="E273" s="236"/>
      <c r="F273" s="237" t="str">
        <f>TEXT(Table12[[#This Row],[Date]],"mmm-yy")</f>
        <v>Dec-25</v>
      </c>
      <c r="G273" s="236">
        <f t="shared" si="17"/>
        <v>31</v>
      </c>
      <c r="H273" s="120">
        <f t="shared" si="20"/>
        <v>46014</v>
      </c>
      <c r="I273" s="1">
        <v>8.0208999999999993</v>
      </c>
      <c r="J273" s="1">
        <f>'Raw Data'!K273/Inv_SY!J$2</f>
        <v>0</v>
      </c>
      <c r="K273" s="1">
        <f>'Raw Data'!L273/Inv_SY!K$2</f>
        <v>0</v>
      </c>
      <c r="L273" s="1">
        <f>'Raw Data'!M273/Inv_SY!L$2</f>
        <v>0</v>
      </c>
      <c r="M273" s="1">
        <f>'Raw Data'!N273/Inv_SY!M$2</f>
        <v>0</v>
      </c>
      <c r="N273" s="1">
        <f>'Raw Data'!O273/Inv_SY!N$2</f>
        <v>0</v>
      </c>
      <c r="O273" s="1">
        <f>'Raw Data'!P273/Inv_SY!O$2</f>
        <v>0</v>
      </c>
      <c r="P273" s="1">
        <f>'Raw Data'!Q273/Inv_SY!P$2</f>
        <v>0</v>
      </c>
      <c r="Q273" s="1">
        <f>'Raw Data'!R273/Inv_SY!Q$2</f>
        <v>0</v>
      </c>
      <c r="R273" s="1">
        <f>'Raw Data'!S273/Inv_SY!R$2</f>
        <v>0</v>
      </c>
      <c r="S273" s="1">
        <f>'Raw Data'!T273/Inv_SY!S$2</f>
        <v>0</v>
      </c>
      <c r="T273" s="1">
        <f>'Raw Data'!U273/Inv_SY!T$2</f>
        <v>0</v>
      </c>
      <c r="U273" s="1">
        <f>'Raw Data'!V273/Inv_SY!U$2</f>
        <v>0</v>
      </c>
      <c r="V273" s="1">
        <f>'Raw Data'!W273/Inv_SY!V$2</f>
        <v>0</v>
      </c>
      <c r="W273" s="1">
        <f>'Raw Data'!X273/Inv_SY!W$2</f>
        <v>0</v>
      </c>
      <c r="X273" s="1">
        <f>'Raw Data'!Y273/Inv_SY!X$2</f>
        <v>0</v>
      </c>
      <c r="Y273" s="1" t="str">
        <f t="shared" si="18"/>
        <v/>
      </c>
      <c r="Z273" s="1">
        <f t="shared" si="19"/>
        <v>0</v>
      </c>
    </row>
    <row r="274" spans="1:26" x14ac:dyDescent="0.3">
      <c r="A274" s="236"/>
      <c r="B274" s="236"/>
      <c r="C274" s="236">
        <f>YEAR(Table12[[#This Row],[Date]])</f>
        <v>2025</v>
      </c>
      <c r="D274" s="236"/>
      <c r="E274" s="236"/>
      <c r="F274" s="237" t="str">
        <f>TEXT(Table12[[#This Row],[Date]],"mmm-yy")</f>
        <v>Dec-25</v>
      </c>
      <c r="G274" s="236">
        <f t="shared" si="17"/>
        <v>31</v>
      </c>
      <c r="H274" s="120">
        <f t="shared" si="20"/>
        <v>46015</v>
      </c>
      <c r="I274" s="1">
        <v>8.0208999999999993</v>
      </c>
      <c r="J274" s="1">
        <f>'Raw Data'!K274/Inv_SY!J$2</f>
        <v>0</v>
      </c>
      <c r="K274" s="1">
        <f>'Raw Data'!L274/Inv_SY!K$2</f>
        <v>0</v>
      </c>
      <c r="L274" s="1">
        <f>'Raw Data'!M274/Inv_SY!L$2</f>
        <v>0</v>
      </c>
      <c r="M274" s="1">
        <f>'Raw Data'!N274/Inv_SY!M$2</f>
        <v>0</v>
      </c>
      <c r="N274" s="1">
        <f>'Raw Data'!O274/Inv_SY!N$2</f>
        <v>0</v>
      </c>
      <c r="O274" s="1">
        <f>'Raw Data'!P274/Inv_SY!O$2</f>
        <v>0</v>
      </c>
      <c r="P274" s="1">
        <f>'Raw Data'!Q274/Inv_SY!P$2</f>
        <v>0</v>
      </c>
      <c r="Q274" s="1">
        <f>'Raw Data'!R274/Inv_SY!Q$2</f>
        <v>0</v>
      </c>
      <c r="R274" s="1">
        <f>'Raw Data'!S274/Inv_SY!R$2</f>
        <v>0</v>
      </c>
      <c r="S274" s="1">
        <f>'Raw Data'!T274/Inv_SY!S$2</f>
        <v>0</v>
      </c>
      <c r="T274" s="1">
        <f>'Raw Data'!U274/Inv_SY!T$2</f>
        <v>0</v>
      </c>
      <c r="U274" s="1">
        <f>'Raw Data'!V274/Inv_SY!U$2</f>
        <v>0</v>
      </c>
      <c r="V274" s="1">
        <f>'Raw Data'!W274/Inv_SY!V$2</f>
        <v>0</v>
      </c>
      <c r="W274" s="1">
        <f>'Raw Data'!X274/Inv_SY!W$2</f>
        <v>0</v>
      </c>
      <c r="X274" s="1">
        <f>'Raw Data'!Y274/Inv_SY!X$2</f>
        <v>0</v>
      </c>
      <c r="Y274" s="1" t="str">
        <f t="shared" si="18"/>
        <v/>
      </c>
      <c r="Z274" s="1">
        <f t="shared" si="19"/>
        <v>0</v>
      </c>
    </row>
    <row r="275" spans="1:26" x14ac:dyDescent="0.3">
      <c r="A275" s="236"/>
      <c r="B275" s="236"/>
      <c r="C275" s="236">
        <f>YEAR(Table12[[#This Row],[Date]])</f>
        <v>2025</v>
      </c>
      <c r="D275" s="236"/>
      <c r="E275" s="236"/>
      <c r="F275" s="237" t="str">
        <f>TEXT(Table12[[#This Row],[Date]],"mmm-yy")</f>
        <v>Dec-25</v>
      </c>
      <c r="G275" s="236">
        <f t="shared" si="17"/>
        <v>31</v>
      </c>
      <c r="H275" s="120">
        <f t="shared" si="20"/>
        <v>46016</v>
      </c>
      <c r="I275" s="1">
        <v>8.0208999999999993</v>
      </c>
      <c r="J275" s="1">
        <f>'Raw Data'!K275/Inv_SY!J$2</f>
        <v>0</v>
      </c>
      <c r="K275" s="1">
        <f>'Raw Data'!L275/Inv_SY!K$2</f>
        <v>0</v>
      </c>
      <c r="L275" s="1">
        <f>'Raw Data'!M275/Inv_SY!L$2</f>
        <v>0</v>
      </c>
      <c r="M275" s="1">
        <f>'Raw Data'!N275/Inv_SY!M$2</f>
        <v>0</v>
      </c>
      <c r="N275" s="1">
        <f>'Raw Data'!O275/Inv_SY!N$2</f>
        <v>0</v>
      </c>
      <c r="O275" s="1">
        <f>'Raw Data'!P275/Inv_SY!O$2</f>
        <v>0</v>
      </c>
      <c r="P275" s="1">
        <f>'Raw Data'!Q275/Inv_SY!P$2</f>
        <v>0</v>
      </c>
      <c r="Q275" s="1">
        <f>'Raw Data'!R275/Inv_SY!Q$2</f>
        <v>0</v>
      </c>
      <c r="R275" s="1">
        <f>'Raw Data'!S275/Inv_SY!R$2</f>
        <v>0</v>
      </c>
      <c r="S275" s="1">
        <f>'Raw Data'!T275/Inv_SY!S$2</f>
        <v>0</v>
      </c>
      <c r="T275" s="1">
        <f>'Raw Data'!U275/Inv_SY!T$2</f>
        <v>0</v>
      </c>
      <c r="U275" s="1">
        <f>'Raw Data'!V275/Inv_SY!U$2</f>
        <v>0</v>
      </c>
      <c r="V275" s="1">
        <f>'Raw Data'!W275/Inv_SY!V$2</f>
        <v>0</v>
      </c>
      <c r="W275" s="1">
        <f>'Raw Data'!X275/Inv_SY!W$2</f>
        <v>0</v>
      </c>
      <c r="X275" s="1">
        <f>'Raw Data'!Y275/Inv_SY!X$2</f>
        <v>0</v>
      </c>
      <c r="Y275" s="1" t="str">
        <f t="shared" si="18"/>
        <v/>
      </c>
      <c r="Z275" s="1">
        <f t="shared" si="19"/>
        <v>0</v>
      </c>
    </row>
    <row r="276" spans="1:26" x14ac:dyDescent="0.3">
      <c r="A276" s="236"/>
      <c r="B276" s="236"/>
      <c r="C276" s="236">
        <f>YEAR(Table12[[#This Row],[Date]])</f>
        <v>2025</v>
      </c>
      <c r="D276" s="236"/>
      <c r="E276" s="236"/>
      <c r="F276" s="237" t="str">
        <f>TEXT(Table12[[#This Row],[Date]],"mmm-yy")</f>
        <v>Dec-25</v>
      </c>
      <c r="G276" s="236">
        <f t="shared" si="17"/>
        <v>31</v>
      </c>
      <c r="H276" s="120">
        <f t="shared" si="20"/>
        <v>46017</v>
      </c>
      <c r="I276" s="1">
        <v>8.0208999999999993</v>
      </c>
      <c r="J276" s="1">
        <f>'Raw Data'!K276/Inv_SY!J$2</f>
        <v>0</v>
      </c>
      <c r="K276" s="1">
        <f>'Raw Data'!L276/Inv_SY!K$2</f>
        <v>0</v>
      </c>
      <c r="L276" s="1">
        <f>'Raw Data'!M276/Inv_SY!L$2</f>
        <v>0</v>
      </c>
      <c r="M276" s="1">
        <f>'Raw Data'!N276/Inv_SY!M$2</f>
        <v>0</v>
      </c>
      <c r="N276" s="1">
        <f>'Raw Data'!O276/Inv_SY!N$2</f>
        <v>0</v>
      </c>
      <c r="O276" s="1">
        <f>'Raw Data'!P276/Inv_SY!O$2</f>
        <v>0</v>
      </c>
      <c r="P276" s="1">
        <f>'Raw Data'!Q276/Inv_SY!P$2</f>
        <v>0</v>
      </c>
      <c r="Q276" s="1">
        <f>'Raw Data'!R276/Inv_SY!Q$2</f>
        <v>0</v>
      </c>
      <c r="R276" s="1">
        <f>'Raw Data'!S276/Inv_SY!R$2</f>
        <v>0</v>
      </c>
      <c r="S276" s="1">
        <f>'Raw Data'!T276/Inv_SY!S$2</f>
        <v>0</v>
      </c>
      <c r="T276" s="1">
        <f>'Raw Data'!U276/Inv_SY!T$2</f>
        <v>0</v>
      </c>
      <c r="U276" s="1">
        <f>'Raw Data'!V276/Inv_SY!U$2</f>
        <v>0</v>
      </c>
      <c r="V276" s="1">
        <f>'Raw Data'!W276/Inv_SY!V$2</f>
        <v>0</v>
      </c>
      <c r="W276" s="1">
        <f>'Raw Data'!X276/Inv_SY!W$2</f>
        <v>0</v>
      </c>
      <c r="X276" s="1">
        <f>'Raw Data'!Y276/Inv_SY!X$2</f>
        <v>0</v>
      </c>
      <c r="Y276" s="1" t="str">
        <f t="shared" si="18"/>
        <v/>
      </c>
      <c r="Z276" s="1">
        <f t="shared" si="19"/>
        <v>0</v>
      </c>
    </row>
    <row r="277" spans="1:26" x14ac:dyDescent="0.3">
      <c r="A277" s="236"/>
      <c r="B277" s="236"/>
      <c r="C277" s="236">
        <f>YEAR(Table12[[#This Row],[Date]])</f>
        <v>2025</v>
      </c>
      <c r="D277" s="236"/>
      <c r="E277" s="236"/>
      <c r="F277" s="237" t="str">
        <f>TEXT(Table12[[#This Row],[Date]],"mmm-yy")</f>
        <v>Dec-25</v>
      </c>
      <c r="G277" s="236">
        <f t="shared" si="17"/>
        <v>31</v>
      </c>
      <c r="H277" s="120">
        <f t="shared" si="20"/>
        <v>46018</v>
      </c>
      <c r="I277" s="1">
        <v>8.0208999999999993</v>
      </c>
      <c r="J277" s="1">
        <f>'Raw Data'!K277/Inv_SY!J$2</f>
        <v>0</v>
      </c>
      <c r="K277" s="1">
        <f>'Raw Data'!L277/Inv_SY!K$2</f>
        <v>0</v>
      </c>
      <c r="L277" s="1">
        <f>'Raw Data'!M277/Inv_SY!L$2</f>
        <v>0</v>
      </c>
      <c r="M277" s="1">
        <f>'Raw Data'!N277/Inv_SY!M$2</f>
        <v>0</v>
      </c>
      <c r="N277" s="1">
        <f>'Raw Data'!O277/Inv_SY!N$2</f>
        <v>0</v>
      </c>
      <c r="O277" s="1">
        <f>'Raw Data'!P277/Inv_SY!O$2</f>
        <v>0</v>
      </c>
      <c r="P277" s="1">
        <f>'Raw Data'!Q277/Inv_SY!P$2</f>
        <v>0</v>
      </c>
      <c r="Q277" s="1">
        <f>'Raw Data'!R277/Inv_SY!Q$2</f>
        <v>0</v>
      </c>
      <c r="R277" s="1">
        <f>'Raw Data'!S277/Inv_SY!R$2</f>
        <v>0</v>
      </c>
      <c r="S277" s="1">
        <f>'Raw Data'!T277/Inv_SY!S$2</f>
        <v>0</v>
      </c>
      <c r="T277" s="1">
        <f>'Raw Data'!U277/Inv_SY!T$2</f>
        <v>0</v>
      </c>
      <c r="U277" s="1">
        <f>'Raw Data'!V277/Inv_SY!U$2</f>
        <v>0</v>
      </c>
      <c r="V277" s="1">
        <f>'Raw Data'!W277/Inv_SY!V$2</f>
        <v>0</v>
      </c>
      <c r="W277" s="1">
        <f>'Raw Data'!X277/Inv_SY!W$2</f>
        <v>0</v>
      </c>
      <c r="X277" s="1">
        <f>'Raw Data'!Y277/Inv_SY!X$2</f>
        <v>0</v>
      </c>
      <c r="Y277" s="1" t="str">
        <f t="shared" si="18"/>
        <v/>
      </c>
      <c r="Z277" s="1">
        <f t="shared" si="19"/>
        <v>0</v>
      </c>
    </row>
    <row r="278" spans="1:26" x14ac:dyDescent="0.3">
      <c r="A278" s="236"/>
      <c r="B278" s="236"/>
      <c r="C278" s="236">
        <f>YEAR(Table12[[#This Row],[Date]])</f>
        <v>2025</v>
      </c>
      <c r="D278" s="236"/>
      <c r="E278" s="236"/>
      <c r="F278" s="237" t="str">
        <f>TEXT(Table12[[#This Row],[Date]],"mmm-yy")</f>
        <v>Dec-25</v>
      </c>
      <c r="G278" s="236">
        <f t="shared" si="17"/>
        <v>31</v>
      </c>
      <c r="H278" s="120">
        <f t="shared" si="20"/>
        <v>46019</v>
      </c>
      <c r="I278" s="1">
        <v>8.0208999999999993</v>
      </c>
      <c r="J278" s="1">
        <f>'Raw Data'!K278/Inv_SY!J$2</f>
        <v>0</v>
      </c>
      <c r="K278" s="1">
        <f>'Raw Data'!L278/Inv_SY!K$2</f>
        <v>0</v>
      </c>
      <c r="L278" s="1">
        <f>'Raw Data'!M278/Inv_SY!L$2</f>
        <v>0</v>
      </c>
      <c r="M278" s="1">
        <f>'Raw Data'!N278/Inv_SY!M$2</f>
        <v>0</v>
      </c>
      <c r="N278" s="1">
        <f>'Raw Data'!O278/Inv_SY!N$2</f>
        <v>0</v>
      </c>
      <c r="O278" s="1">
        <f>'Raw Data'!P278/Inv_SY!O$2</f>
        <v>0</v>
      </c>
      <c r="P278" s="1">
        <f>'Raw Data'!Q278/Inv_SY!P$2</f>
        <v>0</v>
      </c>
      <c r="Q278" s="1">
        <f>'Raw Data'!R278/Inv_SY!Q$2</f>
        <v>0</v>
      </c>
      <c r="R278" s="1">
        <f>'Raw Data'!S278/Inv_SY!R$2</f>
        <v>0</v>
      </c>
      <c r="S278" s="1">
        <f>'Raw Data'!T278/Inv_SY!S$2</f>
        <v>0</v>
      </c>
      <c r="T278" s="1">
        <f>'Raw Data'!U278/Inv_SY!T$2</f>
        <v>0</v>
      </c>
      <c r="U278" s="1">
        <f>'Raw Data'!V278/Inv_SY!U$2</f>
        <v>0</v>
      </c>
      <c r="V278" s="1">
        <f>'Raw Data'!W278/Inv_SY!V$2</f>
        <v>0</v>
      </c>
      <c r="W278" s="1">
        <f>'Raw Data'!X278/Inv_SY!W$2</f>
        <v>0</v>
      </c>
      <c r="X278" s="1">
        <f>'Raw Data'!Y278/Inv_SY!X$2</f>
        <v>0</v>
      </c>
      <c r="Y278" s="1" t="str">
        <f t="shared" si="18"/>
        <v/>
      </c>
      <c r="Z278" s="1">
        <f t="shared" si="19"/>
        <v>0</v>
      </c>
    </row>
    <row r="279" spans="1:26" x14ac:dyDescent="0.3">
      <c r="A279" s="236"/>
      <c r="B279" s="236"/>
      <c r="C279" s="236">
        <f>YEAR(Table12[[#This Row],[Date]])</f>
        <v>2025</v>
      </c>
      <c r="D279" s="236"/>
      <c r="E279" s="236"/>
      <c r="F279" s="237" t="str">
        <f>TEXT(Table12[[#This Row],[Date]],"mmm-yy")</f>
        <v>Dec-25</v>
      </c>
      <c r="G279" s="236">
        <f t="shared" si="17"/>
        <v>31</v>
      </c>
      <c r="H279" s="120">
        <f t="shared" si="20"/>
        <v>46020</v>
      </c>
      <c r="I279" s="1">
        <v>8.0208999999999993</v>
      </c>
      <c r="J279" s="1">
        <f>'Raw Data'!K279/Inv_SY!J$2</f>
        <v>0</v>
      </c>
      <c r="K279" s="1">
        <f>'Raw Data'!L279/Inv_SY!K$2</f>
        <v>0</v>
      </c>
      <c r="L279" s="1">
        <f>'Raw Data'!M279/Inv_SY!L$2</f>
        <v>0</v>
      </c>
      <c r="M279" s="1">
        <f>'Raw Data'!N279/Inv_SY!M$2</f>
        <v>0</v>
      </c>
      <c r="N279" s="1">
        <f>'Raw Data'!O279/Inv_SY!N$2</f>
        <v>0</v>
      </c>
      <c r="O279" s="1">
        <f>'Raw Data'!P279/Inv_SY!O$2</f>
        <v>0</v>
      </c>
      <c r="P279" s="1">
        <f>'Raw Data'!Q279/Inv_SY!P$2</f>
        <v>0</v>
      </c>
      <c r="Q279" s="1">
        <f>'Raw Data'!R279/Inv_SY!Q$2</f>
        <v>0</v>
      </c>
      <c r="R279" s="1">
        <f>'Raw Data'!S279/Inv_SY!R$2</f>
        <v>0</v>
      </c>
      <c r="S279" s="1">
        <f>'Raw Data'!T279/Inv_SY!S$2</f>
        <v>0</v>
      </c>
      <c r="T279" s="1">
        <f>'Raw Data'!U279/Inv_SY!T$2</f>
        <v>0</v>
      </c>
      <c r="U279" s="1">
        <f>'Raw Data'!V279/Inv_SY!U$2</f>
        <v>0</v>
      </c>
      <c r="V279" s="1">
        <f>'Raw Data'!W279/Inv_SY!V$2</f>
        <v>0</v>
      </c>
      <c r="W279" s="1">
        <f>'Raw Data'!X279/Inv_SY!W$2</f>
        <v>0</v>
      </c>
      <c r="X279" s="1">
        <f>'Raw Data'!Y279/Inv_SY!X$2</f>
        <v>0</v>
      </c>
      <c r="Y279" s="1" t="str">
        <f t="shared" si="18"/>
        <v/>
      </c>
      <c r="Z279" s="1">
        <f t="shared" si="19"/>
        <v>0</v>
      </c>
    </row>
    <row r="280" spans="1:26" x14ac:dyDescent="0.3">
      <c r="A280" s="236"/>
      <c r="B280" s="236"/>
      <c r="C280" s="236">
        <f>YEAR(Table12[[#This Row],[Date]])</f>
        <v>2025</v>
      </c>
      <c r="D280" s="236"/>
      <c r="E280" s="236"/>
      <c r="F280" s="237" t="str">
        <f>TEXT(Table12[[#This Row],[Date]],"mmm-yy")</f>
        <v>Dec-25</v>
      </c>
      <c r="G280" s="236">
        <f t="shared" si="17"/>
        <v>31</v>
      </c>
      <c r="H280" s="120">
        <f t="shared" si="20"/>
        <v>46021</v>
      </c>
      <c r="I280" s="1">
        <v>8.0208999999999993</v>
      </c>
      <c r="J280" s="1">
        <f>'Raw Data'!K280/Inv_SY!J$2</f>
        <v>0</v>
      </c>
      <c r="K280" s="1">
        <f>'Raw Data'!L280/Inv_SY!K$2</f>
        <v>0</v>
      </c>
      <c r="L280" s="1">
        <f>'Raw Data'!M280/Inv_SY!L$2</f>
        <v>0</v>
      </c>
      <c r="M280" s="1">
        <f>'Raw Data'!N280/Inv_SY!M$2</f>
        <v>0</v>
      </c>
      <c r="N280" s="1">
        <f>'Raw Data'!O280/Inv_SY!N$2</f>
        <v>0</v>
      </c>
      <c r="O280" s="1">
        <f>'Raw Data'!P280/Inv_SY!O$2</f>
        <v>0</v>
      </c>
      <c r="P280" s="1">
        <f>'Raw Data'!Q280/Inv_SY!P$2</f>
        <v>0</v>
      </c>
      <c r="Q280" s="1">
        <f>'Raw Data'!R280/Inv_SY!Q$2</f>
        <v>0</v>
      </c>
      <c r="R280" s="1">
        <f>'Raw Data'!S280/Inv_SY!R$2</f>
        <v>0</v>
      </c>
      <c r="S280" s="1">
        <f>'Raw Data'!T280/Inv_SY!S$2</f>
        <v>0</v>
      </c>
      <c r="T280" s="1">
        <f>'Raw Data'!U280/Inv_SY!T$2</f>
        <v>0</v>
      </c>
      <c r="U280" s="1">
        <f>'Raw Data'!V280/Inv_SY!U$2</f>
        <v>0</v>
      </c>
      <c r="V280" s="1">
        <f>'Raw Data'!W280/Inv_SY!V$2</f>
        <v>0</v>
      </c>
      <c r="W280" s="1">
        <f>'Raw Data'!X280/Inv_SY!W$2</f>
        <v>0</v>
      </c>
      <c r="X280" s="1">
        <f>'Raw Data'!Y280/Inv_SY!X$2</f>
        <v>0</v>
      </c>
      <c r="Y280" s="1" t="str">
        <f t="shared" si="18"/>
        <v/>
      </c>
      <c r="Z280" s="1">
        <f t="shared" si="19"/>
        <v>0</v>
      </c>
    </row>
    <row r="281" spans="1:26" x14ac:dyDescent="0.3">
      <c r="A281" s="236"/>
      <c r="B281" s="236"/>
      <c r="C281" s="236">
        <f>YEAR(Table12[[#This Row],[Date]])</f>
        <v>2025</v>
      </c>
      <c r="D281" s="236"/>
      <c r="E281" s="236"/>
      <c r="F281" s="237" t="str">
        <f>TEXT(Table12[[#This Row],[Date]],"mmm-yy")</f>
        <v>Dec-25</v>
      </c>
      <c r="G281" s="236">
        <f t="shared" si="17"/>
        <v>31</v>
      </c>
      <c r="H281" s="120">
        <f t="shared" si="20"/>
        <v>46022</v>
      </c>
      <c r="I281" s="1">
        <v>8.0208999999999993</v>
      </c>
      <c r="J281" s="1">
        <f>'Raw Data'!K281/Inv_SY!J$2</f>
        <v>0</v>
      </c>
      <c r="K281" s="1">
        <f>'Raw Data'!L281/Inv_SY!K$2</f>
        <v>0</v>
      </c>
      <c r="L281" s="1">
        <f>'Raw Data'!M281/Inv_SY!L$2</f>
        <v>0</v>
      </c>
      <c r="M281" s="1">
        <f>'Raw Data'!N281/Inv_SY!M$2</f>
        <v>0</v>
      </c>
      <c r="N281" s="1">
        <f>'Raw Data'!O281/Inv_SY!N$2</f>
        <v>0</v>
      </c>
      <c r="O281" s="1">
        <f>'Raw Data'!P281/Inv_SY!O$2</f>
        <v>0</v>
      </c>
      <c r="P281" s="1">
        <f>'Raw Data'!Q281/Inv_SY!P$2</f>
        <v>0</v>
      </c>
      <c r="Q281" s="1">
        <f>'Raw Data'!R281/Inv_SY!Q$2</f>
        <v>0</v>
      </c>
      <c r="R281" s="1">
        <f>'Raw Data'!S281/Inv_SY!R$2</f>
        <v>0</v>
      </c>
      <c r="S281" s="1">
        <f>'Raw Data'!T281/Inv_SY!S$2</f>
        <v>0</v>
      </c>
      <c r="T281" s="1">
        <f>'Raw Data'!U281/Inv_SY!T$2</f>
        <v>0</v>
      </c>
      <c r="U281" s="1">
        <f>'Raw Data'!V281/Inv_SY!U$2</f>
        <v>0</v>
      </c>
      <c r="V281" s="1">
        <f>'Raw Data'!W281/Inv_SY!V$2</f>
        <v>0</v>
      </c>
      <c r="W281" s="1">
        <f>'Raw Data'!X281/Inv_SY!W$2</f>
        <v>0</v>
      </c>
      <c r="X281" s="1">
        <f>'Raw Data'!Y281/Inv_SY!X$2</f>
        <v>0</v>
      </c>
      <c r="Y281" s="1" t="str">
        <f t="shared" si="18"/>
        <v/>
      </c>
      <c r="Z281" s="1">
        <f t="shared" si="19"/>
        <v>0</v>
      </c>
    </row>
    <row r="282" spans="1:26" x14ac:dyDescent="0.3">
      <c r="A282" s="236"/>
      <c r="B282" s="236"/>
      <c r="C282" s="236">
        <f>YEAR(Table12[[#This Row],[Date]])</f>
        <v>2026</v>
      </c>
      <c r="D282" s="236"/>
      <c r="E282" s="236"/>
      <c r="F282" s="237" t="str">
        <f>TEXT(Table12[[#This Row],[Date]],"mmm-yy")</f>
        <v>Jan-26</v>
      </c>
      <c r="G282" s="236">
        <f t="shared" si="17"/>
        <v>31</v>
      </c>
      <c r="H282" s="120">
        <f t="shared" si="20"/>
        <v>46023</v>
      </c>
      <c r="I282" s="1">
        <v>8.0208999999999993</v>
      </c>
      <c r="J282" s="1">
        <f>'Raw Data'!K282/Inv_SY!J$2</f>
        <v>0</v>
      </c>
      <c r="K282" s="1">
        <f>'Raw Data'!L282/Inv_SY!K$2</f>
        <v>0</v>
      </c>
      <c r="L282" s="1">
        <f>'Raw Data'!M282/Inv_SY!L$2</f>
        <v>0</v>
      </c>
      <c r="M282" s="1">
        <f>'Raw Data'!N282/Inv_SY!M$2</f>
        <v>0</v>
      </c>
      <c r="N282" s="1">
        <f>'Raw Data'!O282/Inv_SY!N$2</f>
        <v>0</v>
      </c>
      <c r="O282" s="1">
        <f>'Raw Data'!P282/Inv_SY!O$2</f>
        <v>0</v>
      </c>
      <c r="P282" s="1">
        <f>'Raw Data'!Q282/Inv_SY!P$2</f>
        <v>0</v>
      </c>
      <c r="Q282" s="1">
        <f>'Raw Data'!R282/Inv_SY!Q$2</f>
        <v>0</v>
      </c>
      <c r="R282" s="1">
        <f>'Raw Data'!S282/Inv_SY!R$2</f>
        <v>0</v>
      </c>
      <c r="S282" s="1">
        <f>'Raw Data'!T282/Inv_SY!S$2</f>
        <v>0</v>
      </c>
      <c r="T282" s="1">
        <f>'Raw Data'!U282/Inv_SY!T$2</f>
        <v>0</v>
      </c>
      <c r="U282" s="1">
        <f>'Raw Data'!V282/Inv_SY!U$2</f>
        <v>0</v>
      </c>
      <c r="V282" s="1">
        <f>'Raw Data'!W282/Inv_SY!V$2</f>
        <v>0</v>
      </c>
      <c r="W282" s="1">
        <f>'Raw Data'!X282/Inv_SY!W$2</f>
        <v>0</v>
      </c>
      <c r="X282" s="1">
        <f>'Raw Data'!Y282/Inv_SY!X$2</f>
        <v>0</v>
      </c>
      <c r="Y282" s="1" t="str">
        <f t="shared" si="18"/>
        <v/>
      </c>
      <c r="Z282" s="1">
        <f t="shared" si="19"/>
        <v>0</v>
      </c>
    </row>
    <row r="283" spans="1:26" x14ac:dyDescent="0.3">
      <c r="A283" s="236"/>
      <c r="B283" s="236"/>
      <c r="C283" s="236">
        <f>YEAR(Table12[[#This Row],[Date]])</f>
        <v>2026</v>
      </c>
      <c r="D283" s="236"/>
      <c r="E283" s="236"/>
      <c r="F283" s="237" t="str">
        <f>TEXT(Table12[[#This Row],[Date]],"mmm-yy")</f>
        <v>Jan-26</v>
      </c>
      <c r="G283" s="236">
        <f t="shared" si="17"/>
        <v>31</v>
      </c>
      <c r="H283" s="120">
        <f t="shared" si="20"/>
        <v>46024</v>
      </c>
      <c r="I283" s="1">
        <v>8.0208999999999993</v>
      </c>
      <c r="J283" s="1">
        <f>'Raw Data'!K283/Inv_SY!J$2</f>
        <v>0</v>
      </c>
      <c r="K283" s="1">
        <f>'Raw Data'!L283/Inv_SY!K$2</f>
        <v>0</v>
      </c>
      <c r="L283" s="1">
        <f>'Raw Data'!M283/Inv_SY!L$2</f>
        <v>0</v>
      </c>
      <c r="M283" s="1">
        <f>'Raw Data'!N283/Inv_SY!M$2</f>
        <v>0</v>
      </c>
      <c r="N283" s="1">
        <f>'Raw Data'!O283/Inv_SY!N$2</f>
        <v>0</v>
      </c>
      <c r="O283" s="1">
        <f>'Raw Data'!P283/Inv_SY!O$2</f>
        <v>0</v>
      </c>
      <c r="P283" s="1">
        <f>'Raw Data'!Q283/Inv_SY!P$2</f>
        <v>0</v>
      </c>
      <c r="Q283" s="1">
        <f>'Raw Data'!R283/Inv_SY!Q$2</f>
        <v>0</v>
      </c>
      <c r="R283" s="1">
        <f>'Raw Data'!S283/Inv_SY!R$2</f>
        <v>0</v>
      </c>
      <c r="S283" s="1">
        <f>'Raw Data'!T283/Inv_SY!S$2</f>
        <v>0</v>
      </c>
      <c r="T283" s="1">
        <f>'Raw Data'!U283/Inv_SY!T$2</f>
        <v>0</v>
      </c>
      <c r="U283" s="1">
        <f>'Raw Data'!V283/Inv_SY!U$2</f>
        <v>0</v>
      </c>
      <c r="V283" s="1">
        <f>'Raw Data'!W283/Inv_SY!V$2</f>
        <v>0</v>
      </c>
      <c r="W283" s="1">
        <f>'Raw Data'!X283/Inv_SY!W$2</f>
        <v>0</v>
      </c>
      <c r="X283" s="1">
        <f>'Raw Data'!Y283/Inv_SY!X$2</f>
        <v>0</v>
      </c>
      <c r="Y283" s="1" t="str">
        <f t="shared" si="18"/>
        <v/>
      </c>
      <c r="Z283" s="1">
        <f t="shared" si="19"/>
        <v>0</v>
      </c>
    </row>
    <row r="284" spans="1:26" x14ac:dyDescent="0.3">
      <c r="A284" s="236"/>
      <c r="B284" s="236"/>
      <c r="C284" s="236">
        <f>YEAR(Table12[[#This Row],[Date]])</f>
        <v>2026</v>
      </c>
      <c r="D284" s="236"/>
      <c r="E284" s="236"/>
      <c r="F284" s="237" t="str">
        <f>TEXT(Table12[[#This Row],[Date]],"mmm-yy")</f>
        <v>Jan-26</v>
      </c>
      <c r="G284" s="236">
        <f t="shared" si="17"/>
        <v>31</v>
      </c>
      <c r="H284" s="120">
        <f t="shared" si="20"/>
        <v>46025</v>
      </c>
      <c r="I284" s="1">
        <v>8.0208999999999993</v>
      </c>
      <c r="J284" s="1">
        <f>'Raw Data'!K284/Inv_SY!J$2</f>
        <v>0</v>
      </c>
      <c r="K284" s="1">
        <f>'Raw Data'!L284/Inv_SY!K$2</f>
        <v>0</v>
      </c>
      <c r="L284" s="1">
        <f>'Raw Data'!M284/Inv_SY!L$2</f>
        <v>0</v>
      </c>
      <c r="M284" s="1">
        <f>'Raw Data'!N284/Inv_SY!M$2</f>
        <v>0</v>
      </c>
      <c r="N284" s="1">
        <f>'Raw Data'!O284/Inv_SY!N$2</f>
        <v>0</v>
      </c>
      <c r="O284" s="1">
        <f>'Raw Data'!P284/Inv_SY!O$2</f>
        <v>0</v>
      </c>
      <c r="P284" s="1">
        <f>'Raw Data'!Q284/Inv_SY!P$2</f>
        <v>0</v>
      </c>
      <c r="Q284" s="1">
        <f>'Raw Data'!R284/Inv_SY!Q$2</f>
        <v>0</v>
      </c>
      <c r="R284" s="1">
        <f>'Raw Data'!S284/Inv_SY!R$2</f>
        <v>0</v>
      </c>
      <c r="S284" s="1">
        <f>'Raw Data'!T284/Inv_SY!S$2</f>
        <v>0</v>
      </c>
      <c r="T284" s="1">
        <f>'Raw Data'!U284/Inv_SY!T$2</f>
        <v>0</v>
      </c>
      <c r="U284" s="1">
        <f>'Raw Data'!V284/Inv_SY!U$2</f>
        <v>0</v>
      </c>
      <c r="V284" s="1">
        <f>'Raw Data'!W284/Inv_SY!V$2</f>
        <v>0</v>
      </c>
      <c r="W284" s="1">
        <f>'Raw Data'!X284/Inv_SY!W$2</f>
        <v>0</v>
      </c>
      <c r="X284" s="1">
        <f>'Raw Data'!Y284/Inv_SY!X$2</f>
        <v>0</v>
      </c>
      <c r="Y284" s="1" t="str">
        <f t="shared" si="18"/>
        <v/>
      </c>
      <c r="Z284" s="1">
        <f t="shared" si="19"/>
        <v>0</v>
      </c>
    </row>
    <row r="285" spans="1:26" x14ac:dyDescent="0.3">
      <c r="A285" s="236"/>
      <c r="B285" s="236"/>
      <c r="C285" s="236">
        <f>YEAR(Table12[[#This Row],[Date]])</f>
        <v>2026</v>
      </c>
      <c r="D285" s="236"/>
      <c r="E285" s="236"/>
      <c r="F285" s="237" t="str">
        <f>TEXT(Table12[[#This Row],[Date]],"mmm-yy")</f>
        <v>Jan-26</v>
      </c>
      <c r="G285" s="236">
        <f t="shared" si="17"/>
        <v>31</v>
      </c>
      <c r="H285" s="120">
        <f t="shared" si="20"/>
        <v>46026</v>
      </c>
      <c r="I285" s="1">
        <v>8.0208999999999993</v>
      </c>
      <c r="J285" s="1">
        <f>'Raw Data'!K285/Inv_SY!J$2</f>
        <v>0</v>
      </c>
      <c r="K285" s="1">
        <f>'Raw Data'!L285/Inv_SY!K$2</f>
        <v>0</v>
      </c>
      <c r="L285" s="1">
        <f>'Raw Data'!M285/Inv_SY!L$2</f>
        <v>0</v>
      </c>
      <c r="M285" s="1">
        <f>'Raw Data'!N285/Inv_SY!M$2</f>
        <v>0</v>
      </c>
      <c r="N285" s="1">
        <f>'Raw Data'!O285/Inv_SY!N$2</f>
        <v>0</v>
      </c>
      <c r="O285" s="1">
        <f>'Raw Data'!P285/Inv_SY!O$2</f>
        <v>0</v>
      </c>
      <c r="P285" s="1">
        <f>'Raw Data'!Q285/Inv_SY!P$2</f>
        <v>0</v>
      </c>
      <c r="Q285" s="1">
        <f>'Raw Data'!R285/Inv_SY!Q$2</f>
        <v>0</v>
      </c>
      <c r="R285" s="1">
        <f>'Raw Data'!S285/Inv_SY!R$2</f>
        <v>0</v>
      </c>
      <c r="S285" s="1">
        <f>'Raw Data'!T285/Inv_SY!S$2</f>
        <v>0</v>
      </c>
      <c r="T285" s="1">
        <f>'Raw Data'!U285/Inv_SY!T$2</f>
        <v>0</v>
      </c>
      <c r="U285" s="1">
        <f>'Raw Data'!V285/Inv_SY!U$2</f>
        <v>0</v>
      </c>
      <c r="V285" s="1">
        <f>'Raw Data'!W285/Inv_SY!V$2</f>
        <v>0</v>
      </c>
      <c r="W285" s="1">
        <f>'Raw Data'!X285/Inv_SY!W$2</f>
        <v>0</v>
      </c>
      <c r="X285" s="1">
        <f>'Raw Data'!Y285/Inv_SY!X$2</f>
        <v>0</v>
      </c>
      <c r="Y285" s="1" t="str">
        <f t="shared" si="18"/>
        <v/>
      </c>
      <c r="Z285" s="1">
        <f t="shared" si="19"/>
        <v>0</v>
      </c>
    </row>
    <row r="286" spans="1:26" x14ac:dyDescent="0.3">
      <c r="A286" s="236"/>
      <c r="B286" s="236"/>
      <c r="C286" s="236">
        <f>YEAR(Table12[[#This Row],[Date]])</f>
        <v>2026</v>
      </c>
      <c r="D286" s="236"/>
      <c r="E286" s="236"/>
      <c r="F286" s="237" t="str">
        <f>TEXT(Table12[[#This Row],[Date]],"mmm-yy")</f>
        <v>Jan-26</v>
      </c>
      <c r="G286" s="236">
        <f t="shared" si="17"/>
        <v>31</v>
      </c>
      <c r="H286" s="120">
        <f t="shared" si="20"/>
        <v>46027</v>
      </c>
      <c r="I286" s="1">
        <v>8.0208999999999993</v>
      </c>
      <c r="J286" s="1">
        <f>'Raw Data'!K286/Inv_SY!J$2</f>
        <v>0</v>
      </c>
      <c r="K286" s="1">
        <f>'Raw Data'!L286/Inv_SY!K$2</f>
        <v>0</v>
      </c>
      <c r="L286" s="1">
        <f>'Raw Data'!M286/Inv_SY!L$2</f>
        <v>0</v>
      </c>
      <c r="M286" s="1">
        <f>'Raw Data'!N286/Inv_SY!M$2</f>
        <v>0</v>
      </c>
      <c r="N286" s="1">
        <f>'Raw Data'!O286/Inv_SY!N$2</f>
        <v>0</v>
      </c>
      <c r="O286" s="1">
        <f>'Raw Data'!P286/Inv_SY!O$2</f>
        <v>0</v>
      </c>
      <c r="P286" s="1">
        <f>'Raw Data'!Q286/Inv_SY!P$2</f>
        <v>0</v>
      </c>
      <c r="Q286" s="1">
        <f>'Raw Data'!R286/Inv_SY!Q$2</f>
        <v>0</v>
      </c>
      <c r="R286" s="1">
        <f>'Raw Data'!S286/Inv_SY!R$2</f>
        <v>0</v>
      </c>
      <c r="S286" s="1">
        <f>'Raw Data'!T286/Inv_SY!S$2</f>
        <v>0</v>
      </c>
      <c r="T286" s="1">
        <f>'Raw Data'!U286/Inv_SY!T$2</f>
        <v>0</v>
      </c>
      <c r="U286" s="1">
        <f>'Raw Data'!V286/Inv_SY!U$2</f>
        <v>0</v>
      </c>
      <c r="V286" s="1">
        <f>'Raw Data'!W286/Inv_SY!V$2</f>
        <v>0</v>
      </c>
      <c r="W286" s="1">
        <f>'Raw Data'!X286/Inv_SY!W$2</f>
        <v>0</v>
      </c>
      <c r="X286" s="1">
        <f>'Raw Data'!Y286/Inv_SY!X$2</f>
        <v>0</v>
      </c>
      <c r="Y286" s="1" t="str">
        <f t="shared" si="18"/>
        <v/>
      </c>
      <c r="Z286" s="1">
        <f t="shared" si="19"/>
        <v>0</v>
      </c>
    </row>
    <row r="287" spans="1:26" x14ac:dyDescent="0.3">
      <c r="A287" s="236"/>
      <c r="B287" s="236"/>
      <c r="C287" s="236">
        <f>YEAR(Table12[[#This Row],[Date]])</f>
        <v>2026</v>
      </c>
      <c r="D287" s="236"/>
      <c r="E287" s="236"/>
      <c r="F287" s="237" t="str">
        <f>TEXT(Table12[[#This Row],[Date]],"mmm-yy")</f>
        <v>Jan-26</v>
      </c>
      <c r="G287" s="236">
        <f t="shared" si="17"/>
        <v>31</v>
      </c>
      <c r="H287" s="120">
        <f t="shared" si="20"/>
        <v>46028</v>
      </c>
      <c r="I287" s="1">
        <v>8.0208999999999993</v>
      </c>
      <c r="J287" s="1">
        <f>'Raw Data'!K287/Inv_SY!J$2</f>
        <v>0</v>
      </c>
      <c r="K287" s="1">
        <f>'Raw Data'!L287/Inv_SY!K$2</f>
        <v>0</v>
      </c>
      <c r="L287" s="1">
        <f>'Raw Data'!M287/Inv_SY!L$2</f>
        <v>0</v>
      </c>
      <c r="M287" s="1">
        <f>'Raw Data'!N287/Inv_SY!M$2</f>
        <v>0</v>
      </c>
      <c r="N287" s="1">
        <f>'Raw Data'!O287/Inv_SY!N$2</f>
        <v>0</v>
      </c>
      <c r="O287" s="1">
        <f>'Raw Data'!P287/Inv_SY!O$2</f>
        <v>0</v>
      </c>
      <c r="P287" s="1">
        <f>'Raw Data'!Q287/Inv_SY!P$2</f>
        <v>0</v>
      </c>
      <c r="Q287" s="1">
        <f>'Raw Data'!R287/Inv_SY!Q$2</f>
        <v>0</v>
      </c>
      <c r="R287" s="1">
        <f>'Raw Data'!S287/Inv_SY!R$2</f>
        <v>0</v>
      </c>
      <c r="S287" s="1">
        <f>'Raw Data'!T287/Inv_SY!S$2</f>
        <v>0</v>
      </c>
      <c r="T287" s="1">
        <f>'Raw Data'!U287/Inv_SY!T$2</f>
        <v>0</v>
      </c>
      <c r="U287" s="1">
        <f>'Raw Data'!V287/Inv_SY!U$2</f>
        <v>0</v>
      </c>
      <c r="V287" s="1">
        <f>'Raw Data'!W287/Inv_SY!V$2</f>
        <v>0</v>
      </c>
      <c r="W287" s="1">
        <f>'Raw Data'!X287/Inv_SY!W$2</f>
        <v>0</v>
      </c>
      <c r="X287" s="1">
        <f>'Raw Data'!Y287/Inv_SY!X$2</f>
        <v>0</v>
      </c>
      <c r="Y287" s="1" t="str">
        <f t="shared" si="18"/>
        <v/>
      </c>
      <c r="Z287" s="1">
        <f t="shared" si="19"/>
        <v>0</v>
      </c>
    </row>
    <row r="288" spans="1:26" x14ac:dyDescent="0.3">
      <c r="A288" s="236"/>
      <c r="B288" s="236"/>
      <c r="C288" s="236">
        <f>YEAR(Table12[[#This Row],[Date]])</f>
        <v>2026</v>
      </c>
      <c r="D288" s="236"/>
      <c r="E288" s="236"/>
      <c r="F288" s="237" t="str">
        <f>TEXT(Table12[[#This Row],[Date]],"mmm-yy")</f>
        <v>Jan-26</v>
      </c>
      <c r="G288" s="236">
        <f t="shared" si="17"/>
        <v>31</v>
      </c>
      <c r="H288" s="120">
        <f t="shared" si="20"/>
        <v>46029</v>
      </c>
      <c r="I288" s="1">
        <v>8.0208999999999993</v>
      </c>
      <c r="J288" s="1">
        <f>'Raw Data'!K288/Inv_SY!J$2</f>
        <v>0</v>
      </c>
      <c r="K288" s="1">
        <f>'Raw Data'!L288/Inv_SY!K$2</f>
        <v>0</v>
      </c>
      <c r="L288" s="1">
        <f>'Raw Data'!M288/Inv_SY!L$2</f>
        <v>0</v>
      </c>
      <c r="M288" s="1">
        <f>'Raw Data'!N288/Inv_SY!M$2</f>
        <v>0</v>
      </c>
      <c r="N288" s="1">
        <f>'Raw Data'!O288/Inv_SY!N$2</f>
        <v>0</v>
      </c>
      <c r="O288" s="1">
        <f>'Raw Data'!P288/Inv_SY!O$2</f>
        <v>0</v>
      </c>
      <c r="P288" s="1">
        <f>'Raw Data'!Q288/Inv_SY!P$2</f>
        <v>0</v>
      </c>
      <c r="Q288" s="1">
        <f>'Raw Data'!R288/Inv_SY!Q$2</f>
        <v>0</v>
      </c>
      <c r="R288" s="1">
        <f>'Raw Data'!S288/Inv_SY!R$2</f>
        <v>0</v>
      </c>
      <c r="S288" s="1">
        <f>'Raw Data'!T288/Inv_SY!S$2</f>
        <v>0</v>
      </c>
      <c r="T288" s="1">
        <f>'Raw Data'!U288/Inv_SY!T$2</f>
        <v>0</v>
      </c>
      <c r="U288" s="1">
        <f>'Raw Data'!V288/Inv_SY!U$2</f>
        <v>0</v>
      </c>
      <c r="V288" s="1">
        <f>'Raw Data'!W288/Inv_SY!V$2</f>
        <v>0</v>
      </c>
      <c r="W288" s="1">
        <f>'Raw Data'!X288/Inv_SY!W$2</f>
        <v>0</v>
      </c>
      <c r="X288" s="1">
        <f>'Raw Data'!Y288/Inv_SY!X$2</f>
        <v>0</v>
      </c>
      <c r="Y288" s="1" t="str">
        <f t="shared" si="18"/>
        <v/>
      </c>
      <c r="Z288" s="1">
        <f t="shared" si="19"/>
        <v>0</v>
      </c>
    </row>
    <row r="289" spans="1:26" x14ac:dyDescent="0.3">
      <c r="A289" s="236"/>
      <c r="B289" s="236"/>
      <c r="C289" s="236">
        <f>YEAR(Table12[[#This Row],[Date]])</f>
        <v>2026</v>
      </c>
      <c r="D289" s="236"/>
      <c r="E289" s="236"/>
      <c r="F289" s="237" t="str">
        <f>TEXT(Table12[[#This Row],[Date]],"mmm-yy")</f>
        <v>Jan-26</v>
      </c>
      <c r="G289" s="236">
        <f t="shared" si="17"/>
        <v>31</v>
      </c>
      <c r="H289" s="120">
        <f t="shared" si="20"/>
        <v>46030</v>
      </c>
      <c r="I289" s="1">
        <v>8.0208999999999993</v>
      </c>
      <c r="J289" s="1">
        <f>'Raw Data'!K289/Inv_SY!J$2</f>
        <v>0</v>
      </c>
      <c r="K289" s="1">
        <f>'Raw Data'!L289/Inv_SY!K$2</f>
        <v>0</v>
      </c>
      <c r="L289" s="1">
        <f>'Raw Data'!M289/Inv_SY!L$2</f>
        <v>0</v>
      </c>
      <c r="M289" s="1">
        <f>'Raw Data'!N289/Inv_SY!M$2</f>
        <v>0</v>
      </c>
      <c r="N289" s="1">
        <f>'Raw Data'!O289/Inv_SY!N$2</f>
        <v>0</v>
      </c>
      <c r="O289" s="1">
        <f>'Raw Data'!P289/Inv_SY!O$2</f>
        <v>0</v>
      </c>
      <c r="P289" s="1">
        <f>'Raw Data'!Q289/Inv_SY!P$2</f>
        <v>0</v>
      </c>
      <c r="Q289" s="1">
        <f>'Raw Data'!R289/Inv_SY!Q$2</f>
        <v>0</v>
      </c>
      <c r="R289" s="1">
        <f>'Raw Data'!S289/Inv_SY!R$2</f>
        <v>0</v>
      </c>
      <c r="S289" s="1">
        <f>'Raw Data'!T289/Inv_SY!S$2</f>
        <v>0</v>
      </c>
      <c r="T289" s="1">
        <f>'Raw Data'!U289/Inv_SY!T$2</f>
        <v>0</v>
      </c>
      <c r="U289" s="1">
        <f>'Raw Data'!V289/Inv_SY!U$2</f>
        <v>0</v>
      </c>
      <c r="V289" s="1">
        <f>'Raw Data'!W289/Inv_SY!V$2</f>
        <v>0</v>
      </c>
      <c r="W289" s="1">
        <f>'Raw Data'!X289/Inv_SY!W$2</f>
        <v>0</v>
      </c>
      <c r="X289" s="1">
        <f>'Raw Data'!Y289/Inv_SY!X$2</f>
        <v>0</v>
      </c>
      <c r="Y289" s="1" t="str">
        <f t="shared" si="18"/>
        <v/>
      </c>
      <c r="Z289" s="1">
        <f t="shared" si="19"/>
        <v>0</v>
      </c>
    </row>
    <row r="290" spans="1:26" x14ac:dyDescent="0.3">
      <c r="A290" s="236"/>
      <c r="B290" s="236"/>
      <c r="C290" s="236">
        <f>YEAR(Table12[[#This Row],[Date]])</f>
        <v>2026</v>
      </c>
      <c r="D290" s="236"/>
      <c r="E290" s="236"/>
      <c r="F290" s="237" t="str">
        <f>TEXT(Table12[[#This Row],[Date]],"mmm-yy")</f>
        <v>Jan-26</v>
      </c>
      <c r="G290" s="236">
        <f t="shared" si="17"/>
        <v>31</v>
      </c>
      <c r="H290" s="120">
        <f t="shared" si="20"/>
        <v>46031</v>
      </c>
      <c r="I290" s="1">
        <v>8.0208999999999993</v>
      </c>
      <c r="J290" s="1">
        <f>'Raw Data'!K290/Inv_SY!J$2</f>
        <v>0</v>
      </c>
      <c r="K290" s="1">
        <f>'Raw Data'!L290/Inv_SY!K$2</f>
        <v>0</v>
      </c>
      <c r="L290" s="1">
        <f>'Raw Data'!M290/Inv_SY!L$2</f>
        <v>0</v>
      </c>
      <c r="M290" s="1">
        <f>'Raw Data'!N290/Inv_SY!M$2</f>
        <v>0</v>
      </c>
      <c r="N290" s="1">
        <f>'Raw Data'!O290/Inv_SY!N$2</f>
        <v>0</v>
      </c>
      <c r="O290" s="1">
        <f>'Raw Data'!P290/Inv_SY!O$2</f>
        <v>0</v>
      </c>
      <c r="P290" s="1">
        <f>'Raw Data'!Q290/Inv_SY!P$2</f>
        <v>0</v>
      </c>
      <c r="Q290" s="1">
        <f>'Raw Data'!R290/Inv_SY!Q$2</f>
        <v>0</v>
      </c>
      <c r="R290" s="1">
        <f>'Raw Data'!S290/Inv_SY!R$2</f>
        <v>0</v>
      </c>
      <c r="S290" s="1">
        <f>'Raw Data'!T290/Inv_SY!S$2</f>
        <v>0</v>
      </c>
      <c r="T290" s="1">
        <f>'Raw Data'!U290/Inv_SY!T$2</f>
        <v>0</v>
      </c>
      <c r="U290" s="1">
        <f>'Raw Data'!V290/Inv_SY!U$2</f>
        <v>0</v>
      </c>
      <c r="V290" s="1">
        <f>'Raw Data'!W290/Inv_SY!V$2</f>
        <v>0</v>
      </c>
      <c r="W290" s="1">
        <f>'Raw Data'!X290/Inv_SY!W$2</f>
        <v>0</v>
      </c>
      <c r="X290" s="1">
        <f>'Raw Data'!Y290/Inv_SY!X$2</f>
        <v>0</v>
      </c>
      <c r="Y290" s="1" t="str">
        <f t="shared" si="18"/>
        <v/>
      </c>
      <c r="Z290" s="1">
        <f t="shared" si="19"/>
        <v>0</v>
      </c>
    </row>
    <row r="291" spans="1:26" x14ac:dyDescent="0.3">
      <c r="A291" s="236"/>
      <c r="B291" s="236"/>
      <c r="C291" s="236">
        <f>YEAR(Table12[[#This Row],[Date]])</f>
        <v>2026</v>
      </c>
      <c r="D291" s="236"/>
      <c r="E291" s="236"/>
      <c r="F291" s="237" t="str">
        <f>TEXT(Table12[[#This Row],[Date]],"mmm-yy")</f>
        <v>Jan-26</v>
      </c>
      <c r="G291" s="236">
        <f t="shared" si="17"/>
        <v>31</v>
      </c>
      <c r="H291" s="120">
        <f t="shared" si="20"/>
        <v>46032</v>
      </c>
      <c r="I291" s="1">
        <v>8.0208999999999993</v>
      </c>
      <c r="J291" s="1">
        <f>'Raw Data'!K291/Inv_SY!J$2</f>
        <v>0</v>
      </c>
      <c r="K291" s="1">
        <f>'Raw Data'!L291/Inv_SY!K$2</f>
        <v>0</v>
      </c>
      <c r="L291" s="1">
        <f>'Raw Data'!M291/Inv_SY!L$2</f>
        <v>0</v>
      </c>
      <c r="M291" s="1">
        <f>'Raw Data'!N291/Inv_SY!M$2</f>
        <v>0</v>
      </c>
      <c r="N291" s="1">
        <f>'Raw Data'!O291/Inv_SY!N$2</f>
        <v>0</v>
      </c>
      <c r="O291" s="1">
        <f>'Raw Data'!P291/Inv_SY!O$2</f>
        <v>0</v>
      </c>
      <c r="P291" s="1">
        <f>'Raw Data'!Q291/Inv_SY!P$2</f>
        <v>0</v>
      </c>
      <c r="Q291" s="1">
        <f>'Raw Data'!R291/Inv_SY!Q$2</f>
        <v>0</v>
      </c>
      <c r="R291" s="1">
        <f>'Raw Data'!S291/Inv_SY!R$2</f>
        <v>0</v>
      </c>
      <c r="S291" s="1">
        <f>'Raw Data'!T291/Inv_SY!S$2</f>
        <v>0</v>
      </c>
      <c r="T291" s="1">
        <f>'Raw Data'!U291/Inv_SY!T$2</f>
        <v>0</v>
      </c>
      <c r="U291" s="1">
        <f>'Raw Data'!V291/Inv_SY!U$2</f>
        <v>0</v>
      </c>
      <c r="V291" s="1">
        <f>'Raw Data'!W291/Inv_SY!V$2</f>
        <v>0</v>
      </c>
      <c r="W291" s="1">
        <f>'Raw Data'!X291/Inv_SY!W$2</f>
        <v>0</v>
      </c>
      <c r="X291" s="1">
        <f>'Raw Data'!Y291/Inv_SY!X$2</f>
        <v>0</v>
      </c>
      <c r="Y291" s="1" t="str">
        <f t="shared" si="18"/>
        <v/>
      </c>
      <c r="Z291" s="1">
        <f t="shared" si="19"/>
        <v>0</v>
      </c>
    </row>
    <row r="292" spans="1:26" x14ac:dyDescent="0.3">
      <c r="A292" s="236"/>
      <c r="B292" s="236"/>
      <c r="C292" s="236">
        <f>YEAR(Table12[[#This Row],[Date]])</f>
        <v>2026</v>
      </c>
      <c r="D292" s="236"/>
      <c r="E292" s="236"/>
      <c r="F292" s="237" t="str">
        <f>TEXT(Table12[[#This Row],[Date]],"mmm-yy")</f>
        <v>Jan-26</v>
      </c>
      <c r="G292" s="236">
        <f t="shared" ref="G292:G355" si="21">DAY(EOMONTH(F292,0))</f>
        <v>31</v>
      </c>
      <c r="H292" s="120">
        <f t="shared" si="20"/>
        <v>46033</v>
      </c>
      <c r="I292" s="1">
        <v>8.0208999999999993</v>
      </c>
      <c r="J292" s="1">
        <f>'Raw Data'!K292/Inv_SY!J$2</f>
        <v>0</v>
      </c>
      <c r="K292" s="1">
        <f>'Raw Data'!L292/Inv_SY!K$2</f>
        <v>0</v>
      </c>
      <c r="L292" s="1">
        <f>'Raw Data'!M292/Inv_SY!L$2</f>
        <v>0</v>
      </c>
      <c r="M292" s="1">
        <f>'Raw Data'!N292/Inv_SY!M$2</f>
        <v>0</v>
      </c>
      <c r="N292" s="1">
        <f>'Raw Data'!O292/Inv_SY!N$2</f>
        <v>0</v>
      </c>
      <c r="O292" s="1">
        <f>'Raw Data'!P292/Inv_SY!O$2</f>
        <v>0</v>
      </c>
      <c r="P292" s="1">
        <f>'Raw Data'!Q292/Inv_SY!P$2</f>
        <v>0</v>
      </c>
      <c r="Q292" s="1">
        <f>'Raw Data'!R292/Inv_SY!Q$2</f>
        <v>0</v>
      </c>
      <c r="R292" s="1">
        <f>'Raw Data'!S292/Inv_SY!R$2</f>
        <v>0</v>
      </c>
      <c r="S292" s="1">
        <f>'Raw Data'!T292/Inv_SY!S$2</f>
        <v>0</v>
      </c>
      <c r="T292" s="1">
        <f>'Raw Data'!U292/Inv_SY!T$2</f>
        <v>0</v>
      </c>
      <c r="U292" s="1">
        <f>'Raw Data'!V292/Inv_SY!U$2</f>
        <v>0</v>
      </c>
      <c r="V292" s="1">
        <f>'Raw Data'!W292/Inv_SY!V$2</f>
        <v>0</v>
      </c>
      <c r="W292" s="1">
        <f>'Raw Data'!X292/Inv_SY!W$2</f>
        <v>0</v>
      </c>
      <c r="X292" s="1">
        <f>'Raw Data'!Y292/Inv_SY!X$2</f>
        <v>0</v>
      </c>
      <c r="Y292" s="1" t="str">
        <f t="shared" ref="Y292:Y353" si="22">IFERROR(AVERAGEIF(V292:X292,"&gt;"&amp;0,V292:X292),"")</f>
        <v/>
      </c>
      <c r="Z292" s="1">
        <f t="shared" ref="Z292:Z353" si="23">MAXA(V292:X292)</f>
        <v>0</v>
      </c>
    </row>
    <row r="293" spans="1:26" x14ac:dyDescent="0.3">
      <c r="A293" s="236"/>
      <c r="B293" s="236"/>
      <c r="C293" s="236">
        <f>YEAR(Table12[[#This Row],[Date]])</f>
        <v>2026</v>
      </c>
      <c r="D293" s="236"/>
      <c r="E293" s="236"/>
      <c r="F293" s="237" t="str">
        <f>TEXT(Table12[[#This Row],[Date]],"mmm-yy")</f>
        <v>Jan-26</v>
      </c>
      <c r="G293" s="236">
        <f t="shared" si="21"/>
        <v>31</v>
      </c>
      <c r="H293" s="120">
        <f t="shared" si="20"/>
        <v>46034</v>
      </c>
      <c r="I293" s="1">
        <v>8.0208999999999993</v>
      </c>
      <c r="J293" s="1">
        <f>'Raw Data'!K293/Inv_SY!J$2</f>
        <v>0</v>
      </c>
      <c r="K293" s="1">
        <f>'Raw Data'!L293/Inv_SY!K$2</f>
        <v>0</v>
      </c>
      <c r="L293" s="1">
        <f>'Raw Data'!M293/Inv_SY!L$2</f>
        <v>0</v>
      </c>
      <c r="M293" s="1">
        <f>'Raw Data'!N293/Inv_SY!M$2</f>
        <v>0</v>
      </c>
      <c r="N293" s="1">
        <f>'Raw Data'!O293/Inv_SY!N$2</f>
        <v>0</v>
      </c>
      <c r="O293" s="1">
        <f>'Raw Data'!P293/Inv_SY!O$2</f>
        <v>0</v>
      </c>
      <c r="P293" s="1">
        <f>'Raw Data'!Q293/Inv_SY!P$2</f>
        <v>0</v>
      </c>
      <c r="Q293" s="1">
        <f>'Raw Data'!R293/Inv_SY!Q$2</f>
        <v>0</v>
      </c>
      <c r="R293" s="1">
        <f>'Raw Data'!S293/Inv_SY!R$2</f>
        <v>0</v>
      </c>
      <c r="S293" s="1">
        <f>'Raw Data'!T293/Inv_SY!S$2</f>
        <v>0</v>
      </c>
      <c r="T293" s="1">
        <f>'Raw Data'!U293/Inv_SY!T$2</f>
        <v>0</v>
      </c>
      <c r="U293" s="1">
        <f>'Raw Data'!V293/Inv_SY!U$2</f>
        <v>0</v>
      </c>
      <c r="V293" s="1">
        <f>'Raw Data'!W293/Inv_SY!V$2</f>
        <v>0</v>
      </c>
      <c r="W293" s="1">
        <f>'Raw Data'!X293/Inv_SY!W$2</f>
        <v>0</v>
      </c>
      <c r="X293" s="1">
        <f>'Raw Data'!Y293/Inv_SY!X$2</f>
        <v>0</v>
      </c>
      <c r="Y293" s="1" t="str">
        <f t="shared" si="22"/>
        <v/>
      </c>
      <c r="Z293" s="1">
        <f t="shared" si="23"/>
        <v>0</v>
      </c>
    </row>
    <row r="294" spans="1:26" x14ac:dyDescent="0.3">
      <c r="A294" s="236"/>
      <c r="B294" s="236"/>
      <c r="C294" s="236">
        <f>YEAR(Table12[[#This Row],[Date]])</f>
        <v>2026</v>
      </c>
      <c r="D294" s="236"/>
      <c r="E294" s="236"/>
      <c r="F294" s="237" t="str">
        <f>TEXT(Table12[[#This Row],[Date]],"mmm-yy")</f>
        <v>Jan-26</v>
      </c>
      <c r="G294" s="236">
        <f t="shared" si="21"/>
        <v>31</v>
      </c>
      <c r="H294" s="120">
        <f t="shared" si="20"/>
        <v>46035</v>
      </c>
      <c r="I294" s="1">
        <v>8.0208999999999993</v>
      </c>
      <c r="J294" s="1">
        <f>'Raw Data'!K294/Inv_SY!J$2</f>
        <v>0</v>
      </c>
      <c r="K294" s="1">
        <f>'Raw Data'!L294/Inv_SY!K$2</f>
        <v>0</v>
      </c>
      <c r="L294" s="1">
        <f>'Raw Data'!M294/Inv_SY!L$2</f>
        <v>0</v>
      </c>
      <c r="M294" s="1">
        <f>'Raw Data'!N294/Inv_SY!M$2</f>
        <v>0</v>
      </c>
      <c r="N294" s="1">
        <f>'Raw Data'!O294/Inv_SY!N$2</f>
        <v>0</v>
      </c>
      <c r="O294" s="1">
        <f>'Raw Data'!P294/Inv_SY!O$2</f>
        <v>0</v>
      </c>
      <c r="P294" s="1">
        <f>'Raw Data'!Q294/Inv_SY!P$2</f>
        <v>0</v>
      </c>
      <c r="Q294" s="1">
        <f>'Raw Data'!R294/Inv_SY!Q$2</f>
        <v>0</v>
      </c>
      <c r="R294" s="1">
        <f>'Raw Data'!S294/Inv_SY!R$2</f>
        <v>0</v>
      </c>
      <c r="S294" s="1">
        <f>'Raw Data'!T294/Inv_SY!S$2</f>
        <v>0</v>
      </c>
      <c r="T294" s="1">
        <f>'Raw Data'!U294/Inv_SY!T$2</f>
        <v>0</v>
      </c>
      <c r="U294" s="1">
        <f>'Raw Data'!V294/Inv_SY!U$2</f>
        <v>0</v>
      </c>
      <c r="V294" s="1">
        <f>'Raw Data'!W294/Inv_SY!V$2</f>
        <v>0</v>
      </c>
      <c r="W294" s="1">
        <f>'Raw Data'!X294/Inv_SY!W$2</f>
        <v>0</v>
      </c>
      <c r="X294" s="1">
        <f>'Raw Data'!Y294/Inv_SY!X$2</f>
        <v>0</v>
      </c>
      <c r="Y294" s="1" t="str">
        <f t="shared" si="22"/>
        <v/>
      </c>
      <c r="Z294" s="1">
        <f t="shared" si="23"/>
        <v>0</v>
      </c>
    </row>
    <row r="295" spans="1:26" x14ac:dyDescent="0.3">
      <c r="A295" s="236"/>
      <c r="B295" s="236"/>
      <c r="C295" s="236">
        <f>YEAR(Table12[[#This Row],[Date]])</f>
        <v>2026</v>
      </c>
      <c r="D295" s="236"/>
      <c r="E295" s="236"/>
      <c r="F295" s="237" t="str">
        <f>TEXT(Table12[[#This Row],[Date]],"mmm-yy")</f>
        <v>Jan-26</v>
      </c>
      <c r="G295" s="236">
        <f t="shared" si="21"/>
        <v>31</v>
      </c>
      <c r="H295" s="120">
        <f t="shared" si="20"/>
        <v>46036</v>
      </c>
      <c r="I295" s="1">
        <v>8.0208999999999993</v>
      </c>
      <c r="J295" s="1">
        <f>'Raw Data'!K295/Inv_SY!J$2</f>
        <v>0</v>
      </c>
      <c r="K295" s="1">
        <f>'Raw Data'!L295/Inv_SY!K$2</f>
        <v>0</v>
      </c>
      <c r="L295" s="1">
        <f>'Raw Data'!M295/Inv_SY!L$2</f>
        <v>0</v>
      </c>
      <c r="M295" s="1">
        <f>'Raw Data'!N295/Inv_SY!M$2</f>
        <v>0</v>
      </c>
      <c r="N295" s="1">
        <f>'Raw Data'!O295/Inv_SY!N$2</f>
        <v>0</v>
      </c>
      <c r="O295" s="1">
        <f>'Raw Data'!P295/Inv_SY!O$2</f>
        <v>0</v>
      </c>
      <c r="P295" s="1">
        <f>'Raw Data'!Q295/Inv_SY!P$2</f>
        <v>0</v>
      </c>
      <c r="Q295" s="1">
        <f>'Raw Data'!R295/Inv_SY!Q$2</f>
        <v>0</v>
      </c>
      <c r="R295" s="1">
        <f>'Raw Data'!S295/Inv_SY!R$2</f>
        <v>0</v>
      </c>
      <c r="S295" s="1">
        <f>'Raw Data'!T295/Inv_SY!S$2</f>
        <v>0</v>
      </c>
      <c r="T295" s="1">
        <f>'Raw Data'!U295/Inv_SY!T$2</f>
        <v>0</v>
      </c>
      <c r="U295" s="1">
        <f>'Raw Data'!V295/Inv_SY!U$2</f>
        <v>0</v>
      </c>
      <c r="V295" s="1">
        <f>'Raw Data'!W295/Inv_SY!V$2</f>
        <v>0</v>
      </c>
      <c r="W295" s="1">
        <f>'Raw Data'!X295/Inv_SY!W$2</f>
        <v>0</v>
      </c>
      <c r="X295" s="1">
        <f>'Raw Data'!Y295/Inv_SY!X$2</f>
        <v>0</v>
      </c>
      <c r="Y295" s="1" t="str">
        <f t="shared" si="22"/>
        <v/>
      </c>
      <c r="Z295" s="1">
        <f t="shared" si="23"/>
        <v>0</v>
      </c>
    </row>
    <row r="296" spans="1:26" x14ac:dyDescent="0.3">
      <c r="A296" s="236"/>
      <c r="B296" s="236"/>
      <c r="C296" s="236">
        <f>YEAR(Table12[[#This Row],[Date]])</f>
        <v>2026</v>
      </c>
      <c r="D296" s="236"/>
      <c r="E296" s="236"/>
      <c r="F296" s="237" t="str">
        <f>TEXT(Table12[[#This Row],[Date]],"mmm-yy")</f>
        <v>Jan-26</v>
      </c>
      <c r="G296" s="236">
        <f t="shared" si="21"/>
        <v>31</v>
      </c>
      <c r="H296" s="120">
        <f t="shared" si="20"/>
        <v>46037</v>
      </c>
      <c r="I296" s="1">
        <v>8.0208999999999993</v>
      </c>
      <c r="J296" s="1">
        <f>'Raw Data'!K296/Inv_SY!J$2</f>
        <v>0</v>
      </c>
      <c r="K296" s="1">
        <f>'Raw Data'!L296/Inv_SY!K$2</f>
        <v>0</v>
      </c>
      <c r="L296" s="1">
        <f>'Raw Data'!M296/Inv_SY!L$2</f>
        <v>0</v>
      </c>
      <c r="M296" s="1">
        <f>'Raw Data'!N296/Inv_SY!M$2</f>
        <v>0</v>
      </c>
      <c r="N296" s="1">
        <f>'Raw Data'!O296/Inv_SY!N$2</f>
        <v>0</v>
      </c>
      <c r="O296" s="1">
        <f>'Raw Data'!P296/Inv_SY!O$2</f>
        <v>0</v>
      </c>
      <c r="P296" s="1">
        <f>'Raw Data'!Q296/Inv_SY!P$2</f>
        <v>0</v>
      </c>
      <c r="Q296" s="1">
        <f>'Raw Data'!R296/Inv_SY!Q$2</f>
        <v>0</v>
      </c>
      <c r="R296" s="1">
        <f>'Raw Data'!S296/Inv_SY!R$2</f>
        <v>0</v>
      </c>
      <c r="S296" s="1">
        <f>'Raw Data'!T296/Inv_SY!S$2</f>
        <v>0</v>
      </c>
      <c r="T296" s="1">
        <f>'Raw Data'!U296/Inv_SY!T$2</f>
        <v>0</v>
      </c>
      <c r="U296" s="1">
        <f>'Raw Data'!V296/Inv_SY!U$2</f>
        <v>0</v>
      </c>
      <c r="V296" s="1">
        <f>'Raw Data'!W296/Inv_SY!V$2</f>
        <v>0</v>
      </c>
      <c r="W296" s="1">
        <f>'Raw Data'!X296/Inv_SY!W$2</f>
        <v>0</v>
      </c>
      <c r="X296" s="1">
        <f>'Raw Data'!Y296/Inv_SY!X$2</f>
        <v>0</v>
      </c>
      <c r="Y296" s="1" t="str">
        <f t="shared" si="22"/>
        <v/>
      </c>
      <c r="Z296" s="1">
        <f t="shared" si="23"/>
        <v>0</v>
      </c>
    </row>
    <row r="297" spans="1:26" x14ac:dyDescent="0.3">
      <c r="A297" s="236"/>
      <c r="B297" s="236"/>
      <c r="C297" s="236">
        <f>YEAR(Table12[[#This Row],[Date]])</f>
        <v>2026</v>
      </c>
      <c r="D297" s="236"/>
      <c r="E297" s="236"/>
      <c r="F297" s="237" t="str">
        <f>TEXT(Table12[[#This Row],[Date]],"mmm-yy")</f>
        <v>Jan-26</v>
      </c>
      <c r="G297" s="236">
        <f t="shared" si="21"/>
        <v>31</v>
      </c>
      <c r="H297" s="120">
        <f t="shared" si="20"/>
        <v>46038</v>
      </c>
      <c r="I297" s="1">
        <v>8.0208999999999993</v>
      </c>
      <c r="J297" s="1">
        <f>'Raw Data'!K297/Inv_SY!J$2</f>
        <v>0</v>
      </c>
      <c r="K297" s="1">
        <f>'Raw Data'!L297/Inv_SY!K$2</f>
        <v>0</v>
      </c>
      <c r="L297" s="1">
        <f>'Raw Data'!M297/Inv_SY!L$2</f>
        <v>0</v>
      </c>
      <c r="M297" s="1">
        <f>'Raw Data'!N297/Inv_SY!M$2</f>
        <v>0</v>
      </c>
      <c r="N297" s="1">
        <f>'Raw Data'!O297/Inv_SY!N$2</f>
        <v>0</v>
      </c>
      <c r="O297" s="1">
        <f>'Raw Data'!P297/Inv_SY!O$2</f>
        <v>0</v>
      </c>
      <c r="P297" s="1">
        <f>'Raw Data'!Q297/Inv_SY!P$2</f>
        <v>0</v>
      </c>
      <c r="Q297" s="1">
        <f>'Raw Data'!R297/Inv_SY!Q$2</f>
        <v>0</v>
      </c>
      <c r="R297" s="1">
        <f>'Raw Data'!S297/Inv_SY!R$2</f>
        <v>0</v>
      </c>
      <c r="S297" s="1">
        <f>'Raw Data'!T297/Inv_SY!S$2</f>
        <v>0</v>
      </c>
      <c r="T297" s="1">
        <f>'Raw Data'!U297/Inv_SY!T$2</f>
        <v>0</v>
      </c>
      <c r="U297" s="1">
        <f>'Raw Data'!V297/Inv_SY!U$2</f>
        <v>0</v>
      </c>
      <c r="V297" s="1">
        <f>'Raw Data'!W297/Inv_SY!V$2</f>
        <v>0</v>
      </c>
      <c r="W297" s="1">
        <f>'Raw Data'!X297/Inv_SY!W$2</f>
        <v>0</v>
      </c>
      <c r="X297" s="1">
        <f>'Raw Data'!Y297/Inv_SY!X$2</f>
        <v>0</v>
      </c>
      <c r="Y297" s="1" t="str">
        <f t="shared" si="22"/>
        <v/>
      </c>
      <c r="Z297" s="1">
        <f t="shared" si="23"/>
        <v>0</v>
      </c>
    </row>
    <row r="298" spans="1:26" x14ac:dyDescent="0.3">
      <c r="A298" s="236"/>
      <c r="B298" s="236"/>
      <c r="C298" s="236">
        <f>YEAR(Table12[[#This Row],[Date]])</f>
        <v>2026</v>
      </c>
      <c r="D298" s="236"/>
      <c r="E298" s="236"/>
      <c r="F298" s="237" t="str">
        <f>TEXT(Table12[[#This Row],[Date]],"mmm-yy")</f>
        <v>Jan-26</v>
      </c>
      <c r="G298" s="236">
        <f t="shared" si="21"/>
        <v>31</v>
      </c>
      <c r="H298" s="120">
        <f t="shared" si="20"/>
        <v>46039</v>
      </c>
      <c r="I298" s="1">
        <v>8.0208999999999993</v>
      </c>
      <c r="J298" s="1">
        <f>'Raw Data'!K298/Inv_SY!J$2</f>
        <v>0</v>
      </c>
      <c r="K298" s="1">
        <f>'Raw Data'!L298/Inv_SY!K$2</f>
        <v>0</v>
      </c>
      <c r="L298" s="1">
        <f>'Raw Data'!M298/Inv_SY!L$2</f>
        <v>0</v>
      </c>
      <c r="M298" s="1">
        <f>'Raw Data'!N298/Inv_SY!M$2</f>
        <v>0</v>
      </c>
      <c r="N298" s="1">
        <f>'Raw Data'!O298/Inv_SY!N$2</f>
        <v>0</v>
      </c>
      <c r="O298" s="1">
        <f>'Raw Data'!P298/Inv_SY!O$2</f>
        <v>0</v>
      </c>
      <c r="P298" s="1">
        <f>'Raw Data'!Q298/Inv_SY!P$2</f>
        <v>0</v>
      </c>
      <c r="Q298" s="1">
        <f>'Raw Data'!R298/Inv_SY!Q$2</f>
        <v>0</v>
      </c>
      <c r="R298" s="1">
        <f>'Raw Data'!S298/Inv_SY!R$2</f>
        <v>0</v>
      </c>
      <c r="S298" s="1">
        <f>'Raw Data'!T298/Inv_SY!S$2</f>
        <v>0</v>
      </c>
      <c r="T298" s="1">
        <f>'Raw Data'!U298/Inv_SY!T$2</f>
        <v>0</v>
      </c>
      <c r="U298" s="1">
        <f>'Raw Data'!V298/Inv_SY!U$2</f>
        <v>0</v>
      </c>
      <c r="V298" s="1">
        <f>'Raw Data'!W298/Inv_SY!V$2</f>
        <v>0</v>
      </c>
      <c r="W298" s="1">
        <f>'Raw Data'!X298/Inv_SY!W$2</f>
        <v>0</v>
      </c>
      <c r="X298" s="1">
        <f>'Raw Data'!Y298/Inv_SY!X$2</f>
        <v>0</v>
      </c>
      <c r="Y298" s="1" t="str">
        <f t="shared" si="22"/>
        <v/>
      </c>
      <c r="Z298" s="1">
        <f t="shared" si="23"/>
        <v>0</v>
      </c>
    </row>
    <row r="299" spans="1:26" x14ac:dyDescent="0.3">
      <c r="A299" s="236"/>
      <c r="B299" s="236"/>
      <c r="C299" s="236">
        <f>YEAR(Table12[[#This Row],[Date]])</f>
        <v>2026</v>
      </c>
      <c r="D299" s="236"/>
      <c r="E299" s="236"/>
      <c r="F299" s="237" t="str">
        <f>TEXT(Table12[[#This Row],[Date]],"mmm-yy")</f>
        <v>Jan-26</v>
      </c>
      <c r="G299" s="236">
        <f t="shared" si="21"/>
        <v>31</v>
      </c>
      <c r="H299" s="120">
        <f t="shared" si="20"/>
        <v>46040</v>
      </c>
      <c r="I299" s="1">
        <v>8.0208999999999993</v>
      </c>
      <c r="J299" s="1">
        <f>'Raw Data'!K299/Inv_SY!J$2</f>
        <v>0</v>
      </c>
      <c r="K299" s="1">
        <f>'Raw Data'!L299/Inv_SY!K$2</f>
        <v>0</v>
      </c>
      <c r="L299" s="1">
        <f>'Raw Data'!M299/Inv_SY!L$2</f>
        <v>0</v>
      </c>
      <c r="M299" s="1">
        <f>'Raw Data'!N299/Inv_SY!M$2</f>
        <v>0</v>
      </c>
      <c r="N299" s="1">
        <f>'Raw Data'!O299/Inv_SY!N$2</f>
        <v>0</v>
      </c>
      <c r="O299" s="1">
        <f>'Raw Data'!P299/Inv_SY!O$2</f>
        <v>0</v>
      </c>
      <c r="P299" s="1">
        <f>'Raw Data'!Q299/Inv_SY!P$2</f>
        <v>0</v>
      </c>
      <c r="Q299" s="1">
        <f>'Raw Data'!R299/Inv_SY!Q$2</f>
        <v>0</v>
      </c>
      <c r="R299" s="1">
        <f>'Raw Data'!S299/Inv_SY!R$2</f>
        <v>0</v>
      </c>
      <c r="S299" s="1">
        <f>'Raw Data'!T299/Inv_SY!S$2</f>
        <v>0</v>
      </c>
      <c r="T299" s="1">
        <f>'Raw Data'!U299/Inv_SY!T$2</f>
        <v>0</v>
      </c>
      <c r="U299" s="1">
        <f>'Raw Data'!V299/Inv_SY!U$2</f>
        <v>0</v>
      </c>
      <c r="V299" s="1">
        <f>'Raw Data'!W299/Inv_SY!V$2</f>
        <v>0</v>
      </c>
      <c r="W299" s="1">
        <f>'Raw Data'!X299/Inv_SY!W$2</f>
        <v>0</v>
      </c>
      <c r="X299" s="1">
        <f>'Raw Data'!Y299/Inv_SY!X$2</f>
        <v>0</v>
      </c>
      <c r="Y299" s="1" t="str">
        <f t="shared" si="22"/>
        <v/>
      </c>
      <c r="Z299" s="1">
        <f t="shared" si="23"/>
        <v>0</v>
      </c>
    </row>
    <row r="300" spans="1:26" x14ac:dyDescent="0.3">
      <c r="A300" s="236"/>
      <c r="B300" s="236"/>
      <c r="C300" s="236">
        <f>YEAR(Table12[[#This Row],[Date]])</f>
        <v>2026</v>
      </c>
      <c r="D300" s="236"/>
      <c r="E300" s="236"/>
      <c r="F300" s="237" t="str">
        <f>TEXT(Table12[[#This Row],[Date]],"mmm-yy")</f>
        <v>Jan-26</v>
      </c>
      <c r="G300" s="236">
        <f t="shared" si="21"/>
        <v>31</v>
      </c>
      <c r="H300" s="120">
        <f t="shared" si="20"/>
        <v>46041</v>
      </c>
      <c r="I300" s="1">
        <v>8.0208999999999993</v>
      </c>
      <c r="J300" s="1">
        <f>'Raw Data'!K300/Inv_SY!J$2</f>
        <v>0</v>
      </c>
      <c r="K300" s="1">
        <f>'Raw Data'!L300/Inv_SY!K$2</f>
        <v>0</v>
      </c>
      <c r="L300" s="1">
        <f>'Raw Data'!M300/Inv_SY!L$2</f>
        <v>0</v>
      </c>
      <c r="M300" s="1">
        <f>'Raw Data'!N300/Inv_SY!M$2</f>
        <v>0</v>
      </c>
      <c r="N300" s="1">
        <f>'Raw Data'!O300/Inv_SY!N$2</f>
        <v>0</v>
      </c>
      <c r="O300" s="1">
        <f>'Raw Data'!P300/Inv_SY!O$2</f>
        <v>0</v>
      </c>
      <c r="P300" s="1">
        <f>'Raw Data'!Q300/Inv_SY!P$2</f>
        <v>0</v>
      </c>
      <c r="Q300" s="1">
        <f>'Raw Data'!R300/Inv_SY!Q$2</f>
        <v>0</v>
      </c>
      <c r="R300" s="1">
        <f>'Raw Data'!S300/Inv_SY!R$2</f>
        <v>0</v>
      </c>
      <c r="S300" s="1">
        <f>'Raw Data'!T300/Inv_SY!S$2</f>
        <v>0</v>
      </c>
      <c r="T300" s="1">
        <f>'Raw Data'!U300/Inv_SY!T$2</f>
        <v>0</v>
      </c>
      <c r="U300" s="1">
        <f>'Raw Data'!V300/Inv_SY!U$2</f>
        <v>0</v>
      </c>
      <c r="V300" s="1">
        <f>'Raw Data'!W300/Inv_SY!V$2</f>
        <v>0</v>
      </c>
      <c r="W300" s="1">
        <f>'Raw Data'!X300/Inv_SY!W$2</f>
        <v>0</v>
      </c>
      <c r="X300" s="1">
        <f>'Raw Data'!Y300/Inv_SY!X$2</f>
        <v>0</v>
      </c>
      <c r="Y300" s="1" t="str">
        <f t="shared" si="22"/>
        <v/>
      </c>
      <c r="Z300" s="1">
        <f t="shared" si="23"/>
        <v>0</v>
      </c>
    </row>
    <row r="301" spans="1:26" x14ac:dyDescent="0.3">
      <c r="A301" s="236"/>
      <c r="B301" s="236"/>
      <c r="C301" s="236">
        <f>YEAR(Table12[[#This Row],[Date]])</f>
        <v>2026</v>
      </c>
      <c r="D301" s="236"/>
      <c r="E301" s="236"/>
      <c r="F301" s="237" t="str">
        <f>TEXT(Table12[[#This Row],[Date]],"mmm-yy")</f>
        <v>Jan-26</v>
      </c>
      <c r="G301" s="236">
        <f t="shared" si="21"/>
        <v>31</v>
      </c>
      <c r="H301" s="120">
        <f t="shared" si="20"/>
        <v>46042</v>
      </c>
      <c r="I301" s="1">
        <v>8.0208999999999993</v>
      </c>
      <c r="J301" s="1">
        <f>'Raw Data'!K301/Inv_SY!J$2</f>
        <v>0</v>
      </c>
      <c r="K301" s="1">
        <f>'Raw Data'!L301/Inv_SY!K$2</f>
        <v>0</v>
      </c>
      <c r="L301" s="1">
        <f>'Raw Data'!M301/Inv_SY!L$2</f>
        <v>0</v>
      </c>
      <c r="M301" s="1">
        <f>'Raw Data'!N301/Inv_SY!M$2</f>
        <v>0</v>
      </c>
      <c r="N301" s="1">
        <f>'Raw Data'!O301/Inv_SY!N$2</f>
        <v>0</v>
      </c>
      <c r="O301" s="1">
        <f>'Raw Data'!P301/Inv_SY!O$2</f>
        <v>0</v>
      </c>
      <c r="P301" s="1">
        <f>'Raw Data'!Q301/Inv_SY!P$2</f>
        <v>0</v>
      </c>
      <c r="Q301" s="1">
        <f>'Raw Data'!R301/Inv_SY!Q$2</f>
        <v>0</v>
      </c>
      <c r="R301" s="1">
        <f>'Raw Data'!S301/Inv_SY!R$2</f>
        <v>0</v>
      </c>
      <c r="S301" s="1">
        <f>'Raw Data'!T301/Inv_SY!S$2</f>
        <v>0</v>
      </c>
      <c r="T301" s="1">
        <f>'Raw Data'!U301/Inv_SY!T$2</f>
        <v>0</v>
      </c>
      <c r="U301" s="1">
        <f>'Raw Data'!V301/Inv_SY!U$2</f>
        <v>0</v>
      </c>
      <c r="V301" s="1">
        <f>'Raw Data'!W301/Inv_SY!V$2</f>
        <v>0</v>
      </c>
      <c r="W301" s="1">
        <f>'Raw Data'!X301/Inv_SY!W$2</f>
        <v>0</v>
      </c>
      <c r="X301" s="1">
        <f>'Raw Data'!Y301/Inv_SY!X$2</f>
        <v>0</v>
      </c>
      <c r="Y301" s="1" t="str">
        <f t="shared" si="22"/>
        <v/>
      </c>
      <c r="Z301" s="1">
        <f t="shared" si="23"/>
        <v>0</v>
      </c>
    </row>
    <row r="302" spans="1:26" x14ac:dyDescent="0.3">
      <c r="A302" s="236"/>
      <c r="B302" s="236"/>
      <c r="C302" s="236">
        <f>YEAR(Table12[[#This Row],[Date]])</f>
        <v>2026</v>
      </c>
      <c r="D302" s="236"/>
      <c r="E302" s="236"/>
      <c r="F302" s="237" t="str">
        <f>TEXT(Table12[[#This Row],[Date]],"mmm-yy")</f>
        <v>Jan-26</v>
      </c>
      <c r="G302" s="236">
        <f t="shared" si="21"/>
        <v>31</v>
      </c>
      <c r="H302" s="120">
        <f t="shared" si="20"/>
        <v>46043</v>
      </c>
      <c r="I302" s="1">
        <v>8.0208999999999993</v>
      </c>
      <c r="J302" s="1">
        <f>'Raw Data'!K302/Inv_SY!J$2</f>
        <v>0</v>
      </c>
      <c r="K302" s="1">
        <f>'Raw Data'!L302/Inv_SY!K$2</f>
        <v>0</v>
      </c>
      <c r="L302" s="1">
        <f>'Raw Data'!M302/Inv_SY!L$2</f>
        <v>0</v>
      </c>
      <c r="M302" s="1">
        <f>'Raw Data'!N302/Inv_SY!M$2</f>
        <v>0</v>
      </c>
      <c r="N302" s="1">
        <f>'Raw Data'!O302/Inv_SY!N$2</f>
        <v>0</v>
      </c>
      <c r="O302" s="1">
        <f>'Raw Data'!P302/Inv_SY!O$2</f>
        <v>0</v>
      </c>
      <c r="P302" s="1">
        <f>'Raw Data'!Q302/Inv_SY!P$2</f>
        <v>0</v>
      </c>
      <c r="Q302" s="1">
        <f>'Raw Data'!R302/Inv_SY!Q$2</f>
        <v>0</v>
      </c>
      <c r="R302" s="1">
        <f>'Raw Data'!S302/Inv_SY!R$2</f>
        <v>0</v>
      </c>
      <c r="S302" s="1">
        <f>'Raw Data'!T302/Inv_SY!S$2</f>
        <v>0</v>
      </c>
      <c r="T302" s="1">
        <f>'Raw Data'!U302/Inv_SY!T$2</f>
        <v>0</v>
      </c>
      <c r="U302" s="1">
        <f>'Raw Data'!V302/Inv_SY!U$2</f>
        <v>0</v>
      </c>
      <c r="V302" s="1">
        <f>'Raw Data'!W302/Inv_SY!V$2</f>
        <v>0</v>
      </c>
      <c r="W302" s="1">
        <f>'Raw Data'!X302/Inv_SY!W$2</f>
        <v>0</v>
      </c>
      <c r="X302" s="1">
        <f>'Raw Data'!Y302/Inv_SY!X$2</f>
        <v>0</v>
      </c>
      <c r="Y302" s="1" t="str">
        <f t="shared" si="22"/>
        <v/>
      </c>
      <c r="Z302" s="1">
        <f t="shared" si="23"/>
        <v>0</v>
      </c>
    </row>
    <row r="303" spans="1:26" x14ac:dyDescent="0.3">
      <c r="A303" s="236"/>
      <c r="B303" s="236"/>
      <c r="C303" s="236">
        <f>YEAR(Table12[[#This Row],[Date]])</f>
        <v>2026</v>
      </c>
      <c r="D303" s="236"/>
      <c r="E303" s="236"/>
      <c r="F303" s="237" t="str">
        <f>TEXT(Table12[[#This Row],[Date]],"mmm-yy")</f>
        <v>Jan-26</v>
      </c>
      <c r="G303" s="236">
        <f t="shared" si="21"/>
        <v>31</v>
      </c>
      <c r="H303" s="120">
        <f t="shared" si="20"/>
        <v>46044</v>
      </c>
      <c r="I303" s="1">
        <v>8.0208999999999993</v>
      </c>
      <c r="J303" s="1">
        <f>'Raw Data'!K303/Inv_SY!J$2</f>
        <v>0</v>
      </c>
      <c r="K303" s="1">
        <f>'Raw Data'!L303/Inv_SY!K$2</f>
        <v>0</v>
      </c>
      <c r="L303" s="1">
        <f>'Raw Data'!M303/Inv_SY!L$2</f>
        <v>0</v>
      </c>
      <c r="M303" s="1">
        <f>'Raw Data'!N303/Inv_SY!M$2</f>
        <v>0</v>
      </c>
      <c r="N303" s="1">
        <f>'Raw Data'!O303/Inv_SY!N$2</f>
        <v>0</v>
      </c>
      <c r="O303" s="1">
        <f>'Raw Data'!P303/Inv_SY!O$2</f>
        <v>0</v>
      </c>
      <c r="P303" s="1">
        <f>'Raw Data'!Q303/Inv_SY!P$2</f>
        <v>0</v>
      </c>
      <c r="Q303" s="1">
        <f>'Raw Data'!R303/Inv_SY!Q$2</f>
        <v>0</v>
      </c>
      <c r="R303" s="1">
        <f>'Raw Data'!S303/Inv_SY!R$2</f>
        <v>0</v>
      </c>
      <c r="S303" s="1">
        <f>'Raw Data'!T303/Inv_SY!S$2</f>
        <v>0</v>
      </c>
      <c r="T303" s="1">
        <f>'Raw Data'!U303/Inv_SY!T$2</f>
        <v>0</v>
      </c>
      <c r="U303" s="1">
        <f>'Raw Data'!V303/Inv_SY!U$2</f>
        <v>0</v>
      </c>
      <c r="V303" s="1">
        <f>'Raw Data'!W303/Inv_SY!V$2</f>
        <v>0</v>
      </c>
      <c r="W303" s="1">
        <f>'Raw Data'!X303/Inv_SY!W$2</f>
        <v>0</v>
      </c>
      <c r="X303" s="1">
        <f>'Raw Data'!Y303/Inv_SY!X$2</f>
        <v>0</v>
      </c>
      <c r="Y303" s="1" t="str">
        <f t="shared" si="22"/>
        <v/>
      </c>
      <c r="Z303" s="1">
        <f t="shared" si="23"/>
        <v>0</v>
      </c>
    </row>
    <row r="304" spans="1:26" x14ac:dyDescent="0.3">
      <c r="A304" s="236"/>
      <c r="B304" s="236"/>
      <c r="C304" s="236">
        <f>YEAR(Table12[[#This Row],[Date]])</f>
        <v>2026</v>
      </c>
      <c r="D304" s="236"/>
      <c r="E304" s="236"/>
      <c r="F304" s="237" t="str">
        <f>TEXT(Table12[[#This Row],[Date]],"mmm-yy")</f>
        <v>Jan-26</v>
      </c>
      <c r="G304" s="236">
        <f t="shared" si="21"/>
        <v>31</v>
      </c>
      <c r="H304" s="120">
        <f t="shared" si="20"/>
        <v>46045</v>
      </c>
      <c r="I304" s="1">
        <v>8.0208999999999993</v>
      </c>
      <c r="J304" s="1">
        <f>'Raw Data'!K304/Inv_SY!J$2</f>
        <v>0</v>
      </c>
      <c r="K304" s="1">
        <f>'Raw Data'!L304/Inv_SY!K$2</f>
        <v>0</v>
      </c>
      <c r="L304" s="1">
        <f>'Raw Data'!M304/Inv_SY!L$2</f>
        <v>0</v>
      </c>
      <c r="M304" s="1">
        <f>'Raw Data'!N304/Inv_SY!M$2</f>
        <v>0</v>
      </c>
      <c r="N304" s="1">
        <f>'Raw Data'!O304/Inv_SY!N$2</f>
        <v>0</v>
      </c>
      <c r="O304" s="1">
        <f>'Raw Data'!P304/Inv_SY!O$2</f>
        <v>0</v>
      </c>
      <c r="P304" s="1">
        <f>'Raw Data'!Q304/Inv_SY!P$2</f>
        <v>0</v>
      </c>
      <c r="Q304" s="1">
        <f>'Raw Data'!R304/Inv_SY!Q$2</f>
        <v>0</v>
      </c>
      <c r="R304" s="1">
        <f>'Raw Data'!S304/Inv_SY!R$2</f>
        <v>0</v>
      </c>
      <c r="S304" s="1">
        <f>'Raw Data'!T304/Inv_SY!S$2</f>
        <v>0</v>
      </c>
      <c r="T304" s="1">
        <f>'Raw Data'!U304/Inv_SY!T$2</f>
        <v>0</v>
      </c>
      <c r="U304" s="1">
        <f>'Raw Data'!V304/Inv_SY!U$2</f>
        <v>0</v>
      </c>
      <c r="V304" s="1">
        <f>'Raw Data'!W304/Inv_SY!V$2</f>
        <v>0</v>
      </c>
      <c r="W304" s="1">
        <f>'Raw Data'!X304/Inv_SY!W$2</f>
        <v>0</v>
      </c>
      <c r="X304" s="1">
        <f>'Raw Data'!Y304/Inv_SY!X$2</f>
        <v>0</v>
      </c>
      <c r="Y304" s="1" t="str">
        <f t="shared" si="22"/>
        <v/>
      </c>
      <c r="Z304" s="1">
        <f t="shared" si="23"/>
        <v>0</v>
      </c>
    </row>
    <row r="305" spans="1:26" x14ac:dyDescent="0.3">
      <c r="A305" s="236"/>
      <c r="B305" s="236"/>
      <c r="C305" s="236">
        <f>YEAR(Table12[[#This Row],[Date]])</f>
        <v>2026</v>
      </c>
      <c r="D305" s="236"/>
      <c r="E305" s="236"/>
      <c r="F305" s="237" t="str">
        <f>TEXT(Table12[[#This Row],[Date]],"mmm-yy")</f>
        <v>Jan-26</v>
      </c>
      <c r="G305" s="236">
        <f t="shared" si="21"/>
        <v>31</v>
      </c>
      <c r="H305" s="120">
        <f t="shared" si="20"/>
        <v>46046</v>
      </c>
      <c r="I305" s="1">
        <v>8.0208999999999993</v>
      </c>
      <c r="J305" s="1">
        <f>'Raw Data'!K305/Inv_SY!J$2</f>
        <v>0</v>
      </c>
      <c r="K305" s="1">
        <f>'Raw Data'!L305/Inv_SY!K$2</f>
        <v>0</v>
      </c>
      <c r="L305" s="1">
        <f>'Raw Data'!M305/Inv_SY!L$2</f>
        <v>0</v>
      </c>
      <c r="M305" s="1">
        <f>'Raw Data'!N305/Inv_SY!M$2</f>
        <v>0</v>
      </c>
      <c r="N305" s="1">
        <f>'Raw Data'!O305/Inv_SY!N$2</f>
        <v>0</v>
      </c>
      <c r="O305" s="1">
        <f>'Raw Data'!P305/Inv_SY!O$2</f>
        <v>0</v>
      </c>
      <c r="P305" s="1">
        <f>'Raw Data'!Q305/Inv_SY!P$2</f>
        <v>0</v>
      </c>
      <c r="Q305" s="1">
        <f>'Raw Data'!R305/Inv_SY!Q$2</f>
        <v>0</v>
      </c>
      <c r="R305" s="1">
        <f>'Raw Data'!S305/Inv_SY!R$2</f>
        <v>0</v>
      </c>
      <c r="S305" s="1">
        <f>'Raw Data'!T305/Inv_SY!S$2</f>
        <v>0</v>
      </c>
      <c r="T305" s="1">
        <f>'Raw Data'!U305/Inv_SY!T$2</f>
        <v>0</v>
      </c>
      <c r="U305" s="1">
        <f>'Raw Data'!V305/Inv_SY!U$2</f>
        <v>0</v>
      </c>
      <c r="V305" s="1">
        <f>'Raw Data'!W305/Inv_SY!V$2</f>
        <v>0</v>
      </c>
      <c r="W305" s="1">
        <f>'Raw Data'!X305/Inv_SY!W$2</f>
        <v>0</v>
      </c>
      <c r="X305" s="1">
        <f>'Raw Data'!Y305/Inv_SY!X$2</f>
        <v>0</v>
      </c>
      <c r="Y305" s="1" t="str">
        <f t="shared" si="22"/>
        <v/>
      </c>
      <c r="Z305" s="1">
        <f t="shared" si="23"/>
        <v>0</v>
      </c>
    </row>
    <row r="306" spans="1:26" x14ac:dyDescent="0.3">
      <c r="A306" s="236"/>
      <c r="B306" s="236"/>
      <c r="C306" s="236">
        <f>YEAR(Table12[[#This Row],[Date]])</f>
        <v>2026</v>
      </c>
      <c r="D306" s="236"/>
      <c r="E306" s="236"/>
      <c r="F306" s="237" t="str">
        <f>TEXT(Table12[[#This Row],[Date]],"mmm-yy")</f>
        <v>Jan-26</v>
      </c>
      <c r="G306" s="236">
        <f t="shared" si="21"/>
        <v>31</v>
      </c>
      <c r="H306" s="120">
        <f t="shared" si="20"/>
        <v>46047</v>
      </c>
      <c r="I306" s="1">
        <v>8.0208999999999993</v>
      </c>
      <c r="J306" s="1">
        <f>'Raw Data'!K306/Inv_SY!J$2</f>
        <v>0</v>
      </c>
      <c r="K306" s="1">
        <f>'Raw Data'!L306/Inv_SY!K$2</f>
        <v>0</v>
      </c>
      <c r="L306" s="1">
        <f>'Raw Data'!M306/Inv_SY!L$2</f>
        <v>0</v>
      </c>
      <c r="M306" s="1">
        <f>'Raw Data'!N306/Inv_SY!M$2</f>
        <v>0</v>
      </c>
      <c r="N306" s="1">
        <f>'Raw Data'!O306/Inv_SY!N$2</f>
        <v>0</v>
      </c>
      <c r="O306" s="1">
        <f>'Raw Data'!P306/Inv_SY!O$2</f>
        <v>0</v>
      </c>
      <c r="P306" s="1">
        <f>'Raw Data'!Q306/Inv_SY!P$2</f>
        <v>0</v>
      </c>
      <c r="Q306" s="1">
        <f>'Raw Data'!R306/Inv_SY!Q$2</f>
        <v>0</v>
      </c>
      <c r="R306" s="1">
        <f>'Raw Data'!S306/Inv_SY!R$2</f>
        <v>0</v>
      </c>
      <c r="S306" s="1">
        <f>'Raw Data'!T306/Inv_SY!S$2</f>
        <v>0</v>
      </c>
      <c r="T306" s="1">
        <f>'Raw Data'!U306/Inv_SY!T$2</f>
        <v>0</v>
      </c>
      <c r="U306" s="1">
        <f>'Raw Data'!V306/Inv_SY!U$2</f>
        <v>0</v>
      </c>
      <c r="V306" s="1">
        <f>'Raw Data'!W306/Inv_SY!V$2</f>
        <v>0</v>
      </c>
      <c r="W306" s="1">
        <f>'Raw Data'!X306/Inv_SY!W$2</f>
        <v>0</v>
      </c>
      <c r="X306" s="1">
        <f>'Raw Data'!Y306/Inv_SY!X$2</f>
        <v>0</v>
      </c>
      <c r="Y306" s="1" t="str">
        <f t="shared" si="22"/>
        <v/>
      </c>
      <c r="Z306" s="1">
        <f t="shared" si="23"/>
        <v>0</v>
      </c>
    </row>
    <row r="307" spans="1:26" x14ac:dyDescent="0.3">
      <c r="A307" s="236"/>
      <c r="B307" s="236"/>
      <c r="C307" s="236">
        <f>YEAR(Table12[[#This Row],[Date]])</f>
        <v>2026</v>
      </c>
      <c r="D307" s="236"/>
      <c r="E307" s="236"/>
      <c r="F307" s="237" t="str">
        <f>TEXT(Table12[[#This Row],[Date]],"mmm-yy")</f>
        <v>Jan-26</v>
      </c>
      <c r="G307" s="236">
        <f t="shared" si="21"/>
        <v>31</v>
      </c>
      <c r="H307" s="120">
        <f t="shared" si="20"/>
        <v>46048</v>
      </c>
      <c r="I307" s="1">
        <v>8.0208999999999993</v>
      </c>
      <c r="J307" s="1">
        <f>'Raw Data'!K307/Inv_SY!J$2</f>
        <v>0</v>
      </c>
      <c r="K307" s="1">
        <f>'Raw Data'!L307/Inv_SY!K$2</f>
        <v>0</v>
      </c>
      <c r="L307" s="1">
        <f>'Raw Data'!M307/Inv_SY!L$2</f>
        <v>0</v>
      </c>
      <c r="M307" s="1">
        <f>'Raw Data'!N307/Inv_SY!M$2</f>
        <v>0</v>
      </c>
      <c r="N307" s="1">
        <f>'Raw Data'!O307/Inv_SY!N$2</f>
        <v>0</v>
      </c>
      <c r="O307" s="1">
        <f>'Raw Data'!P307/Inv_SY!O$2</f>
        <v>0</v>
      </c>
      <c r="P307" s="1">
        <f>'Raw Data'!Q307/Inv_SY!P$2</f>
        <v>0</v>
      </c>
      <c r="Q307" s="1">
        <f>'Raw Data'!R307/Inv_SY!Q$2</f>
        <v>0</v>
      </c>
      <c r="R307" s="1">
        <f>'Raw Data'!S307/Inv_SY!R$2</f>
        <v>0</v>
      </c>
      <c r="S307" s="1">
        <f>'Raw Data'!T307/Inv_SY!S$2</f>
        <v>0</v>
      </c>
      <c r="T307" s="1">
        <f>'Raw Data'!U307/Inv_SY!T$2</f>
        <v>0</v>
      </c>
      <c r="U307" s="1">
        <f>'Raw Data'!V307/Inv_SY!U$2</f>
        <v>0</v>
      </c>
      <c r="V307" s="1">
        <f>'Raw Data'!W307/Inv_SY!V$2</f>
        <v>0</v>
      </c>
      <c r="W307" s="1">
        <f>'Raw Data'!X307/Inv_SY!W$2</f>
        <v>0</v>
      </c>
      <c r="X307" s="1">
        <f>'Raw Data'!Y307/Inv_SY!X$2</f>
        <v>0</v>
      </c>
      <c r="Y307" s="1" t="str">
        <f t="shared" si="22"/>
        <v/>
      </c>
      <c r="Z307" s="1">
        <f t="shared" si="23"/>
        <v>0</v>
      </c>
    </row>
    <row r="308" spans="1:26" x14ac:dyDescent="0.3">
      <c r="A308" s="236"/>
      <c r="B308" s="236"/>
      <c r="C308" s="236">
        <f>YEAR(Table12[[#This Row],[Date]])</f>
        <v>2026</v>
      </c>
      <c r="D308" s="236"/>
      <c r="E308" s="236"/>
      <c r="F308" s="237" t="str">
        <f>TEXT(Table12[[#This Row],[Date]],"mmm-yy")</f>
        <v>Jan-26</v>
      </c>
      <c r="G308" s="236">
        <f t="shared" si="21"/>
        <v>31</v>
      </c>
      <c r="H308" s="120">
        <f t="shared" si="20"/>
        <v>46049</v>
      </c>
      <c r="I308" s="1">
        <v>8.0208999999999993</v>
      </c>
      <c r="J308" s="1">
        <f>'Raw Data'!K308/Inv_SY!J$2</f>
        <v>0</v>
      </c>
      <c r="K308" s="1">
        <f>'Raw Data'!L308/Inv_SY!K$2</f>
        <v>0</v>
      </c>
      <c r="L308" s="1">
        <f>'Raw Data'!M308/Inv_SY!L$2</f>
        <v>0</v>
      </c>
      <c r="M308" s="1">
        <f>'Raw Data'!N308/Inv_SY!M$2</f>
        <v>0</v>
      </c>
      <c r="N308" s="1">
        <f>'Raw Data'!O308/Inv_SY!N$2</f>
        <v>0</v>
      </c>
      <c r="O308" s="1">
        <f>'Raw Data'!P308/Inv_SY!O$2</f>
        <v>0</v>
      </c>
      <c r="P308" s="1">
        <f>'Raw Data'!Q308/Inv_SY!P$2</f>
        <v>0</v>
      </c>
      <c r="Q308" s="1">
        <f>'Raw Data'!R308/Inv_SY!Q$2</f>
        <v>0</v>
      </c>
      <c r="R308" s="1">
        <f>'Raw Data'!S308/Inv_SY!R$2</f>
        <v>0</v>
      </c>
      <c r="S308" s="1">
        <f>'Raw Data'!T308/Inv_SY!S$2</f>
        <v>0</v>
      </c>
      <c r="T308" s="1">
        <f>'Raw Data'!U308/Inv_SY!T$2</f>
        <v>0</v>
      </c>
      <c r="U308" s="1">
        <f>'Raw Data'!V308/Inv_SY!U$2</f>
        <v>0</v>
      </c>
      <c r="V308" s="1">
        <f>'Raw Data'!W308/Inv_SY!V$2</f>
        <v>0</v>
      </c>
      <c r="W308" s="1">
        <f>'Raw Data'!X308/Inv_SY!W$2</f>
        <v>0</v>
      </c>
      <c r="X308" s="1">
        <f>'Raw Data'!Y308/Inv_SY!X$2</f>
        <v>0</v>
      </c>
      <c r="Y308" s="1" t="str">
        <f t="shared" si="22"/>
        <v/>
      </c>
      <c r="Z308" s="1">
        <f t="shared" si="23"/>
        <v>0</v>
      </c>
    </row>
    <row r="309" spans="1:26" x14ac:dyDescent="0.3">
      <c r="A309" s="236"/>
      <c r="B309" s="236"/>
      <c r="C309" s="236">
        <f>YEAR(Table12[[#This Row],[Date]])</f>
        <v>2026</v>
      </c>
      <c r="D309" s="236"/>
      <c r="E309" s="236"/>
      <c r="F309" s="237" t="str">
        <f>TEXT(Table12[[#This Row],[Date]],"mmm-yy")</f>
        <v>Jan-26</v>
      </c>
      <c r="G309" s="236">
        <f t="shared" si="21"/>
        <v>31</v>
      </c>
      <c r="H309" s="120">
        <f t="shared" si="20"/>
        <v>46050</v>
      </c>
      <c r="I309" s="1">
        <v>8.0208999999999993</v>
      </c>
      <c r="J309" s="1">
        <f>'Raw Data'!K309/Inv_SY!J$2</f>
        <v>0</v>
      </c>
      <c r="K309" s="1">
        <f>'Raw Data'!L309/Inv_SY!K$2</f>
        <v>0</v>
      </c>
      <c r="L309" s="1">
        <f>'Raw Data'!M309/Inv_SY!L$2</f>
        <v>0</v>
      </c>
      <c r="M309" s="1">
        <f>'Raw Data'!N309/Inv_SY!M$2</f>
        <v>0</v>
      </c>
      <c r="N309" s="1">
        <f>'Raw Data'!O309/Inv_SY!N$2</f>
        <v>0</v>
      </c>
      <c r="O309" s="1">
        <f>'Raw Data'!P309/Inv_SY!O$2</f>
        <v>0</v>
      </c>
      <c r="P309" s="1">
        <f>'Raw Data'!Q309/Inv_SY!P$2</f>
        <v>0</v>
      </c>
      <c r="Q309" s="1">
        <f>'Raw Data'!R309/Inv_SY!Q$2</f>
        <v>0</v>
      </c>
      <c r="R309" s="1">
        <f>'Raw Data'!S309/Inv_SY!R$2</f>
        <v>0</v>
      </c>
      <c r="S309" s="1">
        <f>'Raw Data'!T309/Inv_SY!S$2</f>
        <v>0</v>
      </c>
      <c r="T309" s="1">
        <f>'Raw Data'!U309/Inv_SY!T$2</f>
        <v>0</v>
      </c>
      <c r="U309" s="1">
        <f>'Raw Data'!V309/Inv_SY!U$2</f>
        <v>0</v>
      </c>
      <c r="V309" s="1">
        <f>'Raw Data'!W309/Inv_SY!V$2</f>
        <v>0</v>
      </c>
      <c r="W309" s="1">
        <f>'Raw Data'!X309/Inv_SY!W$2</f>
        <v>0</v>
      </c>
      <c r="X309" s="1">
        <f>'Raw Data'!Y309/Inv_SY!X$2</f>
        <v>0</v>
      </c>
      <c r="Y309" s="1" t="str">
        <f t="shared" si="22"/>
        <v/>
      </c>
      <c r="Z309" s="1">
        <f t="shared" si="23"/>
        <v>0</v>
      </c>
    </row>
    <row r="310" spans="1:26" x14ac:dyDescent="0.3">
      <c r="A310" s="236"/>
      <c r="B310" s="236"/>
      <c r="C310" s="236">
        <f>YEAR(Table12[[#This Row],[Date]])</f>
        <v>2026</v>
      </c>
      <c r="D310" s="236"/>
      <c r="E310" s="236"/>
      <c r="F310" s="237" t="str">
        <f>TEXT(Table12[[#This Row],[Date]],"mmm-yy")</f>
        <v>Jan-26</v>
      </c>
      <c r="G310" s="236">
        <f t="shared" si="21"/>
        <v>31</v>
      </c>
      <c r="H310" s="120">
        <f t="shared" si="20"/>
        <v>46051</v>
      </c>
      <c r="I310" s="1">
        <v>8.0208999999999993</v>
      </c>
      <c r="J310" s="1">
        <f>'Raw Data'!K310/Inv_SY!J$2</f>
        <v>0</v>
      </c>
      <c r="K310" s="1">
        <f>'Raw Data'!L310/Inv_SY!K$2</f>
        <v>0</v>
      </c>
      <c r="L310" s="1">
        <f>'Raw Data'!M310/Inv_SY!L$2</f>
        <v>0</v>
      </c>
      <c r="M310" s="1">
        <f>'Raw Data'!N310/Inv_SY!M$2</f>
        <v>0</v>
      </c>
      <c r="N310" s="1">
        <f>'Raw Data'!O310/Inv_SY!N$2</f>
        <v>0</v>
      </c>
      <c r="O310" s="1">
        <f>'Raw Data'!P310/Inv_SY!O$2</f>
        <v>0</v>
      </c>
      <c r="P310" s="1">
        <f>'Raw Data'!Q310/Inv_SY!P$2</f>
        <v>0</v>
      </c>
      <c r="Q310" s="1">
        <f>'Raw Data'!R310/Inv_SY!Q$2</f>
        <v>0</v>
      </c>
      <c r="R310" s="1">
        <f>'Raw Data'!S310/Inv_SY!R$2</f>
        <v>0</v>
      </c>
      <c r="S310" s="1">
        <f>'Raw Data'!T310/Inv_SY!S$2</f>
        <v>0</v>
      </c>
      <c r="T310" s="1">
        <f>'Raw Data'!U310/Inv_SY!T$2</f>
        <v>0</v>
      </c>
      <c r="U310" s="1">
        <f>'Raw Data'!V310/Inv_SY!U$2</f>
        <v>0</v>
      </c>
      <c r="V310" s="1">
        <f>'Raw Data'!W310/Inv_SY!V$2</f>
        <v>0</v>
      </c>
      <c r="W310" s="1">
        <f>'Raw Data'!X310/Inv_SY!W$2</f>
        <v>0</v>
      </c>
      <c r="X310" s="1">
        <f>'Raw Data'!Y310/Inv_SY!X$2</f>
        <v>0</v>
      </c>
      <c r="Y310" s="1" t="str">
        <f t="shared" si="22"/>
        <v/>
      </c>
      <c r="Z310" s="1">
        <f t="shared" si="23"/>
        <v>0</v>
      </c>
    </row>
    <row r="311" spans="1:26" x14ac:dyDescent="0.3">
      <c r="A311" s="236"/>
      <c r="B311" s="236"/>
      <c r="C311" s="236">
        <f>YEAR(Table12[[#This Row],[Date]])</f>
        <v>2026</v>
      </c>
      <c r="D311" s="236"/>
      <c r="E311" s="236"/>
      <c r="F311" s="237" t="str">
        <f>TEXT(Table12[[#This Row],[Date]],"mmm-yy")</f>
        <v>Jan-26</v>
      </c>
      <c r="G311" s="236">
        <f t="shared" si="21"/>
        <v>31</v>
      </c>
      <c r="H311" s="120">
        <f t="shared" si="20"/>
        <v>46052</v>
      </c>
      <c r="I311" s="1">
        <v>8.0208999999999993</v>
      </c>
      <c r="J311" s="1">
        <f>'Raw Data'!K311/Inv_SY!J$2</f>
        <v>0</v>
      </c>
      <c r="K311" s="1">
        <f>'Raw Data'!L311/Inv_SY!K$2</f>
        <v>0</v>
      </c>
      <c r="L311" s="1">
        <f>'Raw Data'!M311/Inv_SY!L$2</f>
        <v>0</v>
      </c>
      <c r="M311" s="1">
        <f>'Raw Data'!N311/Inv_SY!M$2</f>
        <v>0</v>
      </c>
      <c r="N311" s="1">
        <f>'Raw Data'!O311/Inv_SY!N$2</f>
        <v>0</v>
      </c>
      <c r="O311" s="1">
        <f>'Raw Data'!P311/Inv_SY!O$2</f>
        <v>0</v>
      </c>
      <c r="P311" s="1">
        <f>'Raw Data'!Q311/Inv_SY!P$2</f>
        <v>0</v>
      </c>
      <c r="Q311" s="1">
        <f>'Raw Data'!R311/Inv_SY!Q$2</f>
        <v>0</v>
      </c>
      <c r="R311" s="1">
        <f>'Raw Data'!S311/Inv_SY!R$2</f>
        <v>0</v>
      </c>
      <c r="S311" s="1">
        <f>'Raw Data'!T311/Inv_SY!S$2</f>
        <v>0</v>
      </c>
      <c r="T311" s="1">
        <f>'Raw Data'!U311/Inv_SY!T$2</f>
        <v>0</v>
      </c>
      <c r="U311" s="1">
        <f>'Raw Data'!V311/Inv_SY!U$2</f>
        <v>0</v>
      </c>
      <c r="V311" s="1">
        <f>'Raw Data'!W311/Inv_SY!V$2</f>
        <v>0</v>
      </c>
      <c r="W311" s="1">
        <f>'Raw Data'!X311/Inv_SY!W$2</f>
        <v>0</v>
      </c>
      <c r="X311" s="1">
        <f>'Raw Data'!Y311/Inv_SY!X$2</f>
        <v>0</v>
      </c>
      <c r="Y311" s="1" t="str">
        <f t="shared" si="22"/>
        <v/>
      </c>
      <c r="Z311" s="1">
        <f t="shared" si="23"/>
        <v>0</v>
      </c>
    </row>
    <row r="312" spans="1:26" x14ac:dyDescent="0.3">
      <c r="A312" s="236"/>
      <c r="B312" s="236"/>
      <c r="C312" s="236">
        <f>YEAR(Table12[[#This Row],[Date]])</f>
        <v>2026</v>
      </c>
      <c r="D312" s="236"/>
      <c r="E312" s="236"/>
      <c r="F312" s="237" t="str">
        <f>TEXT(Table12[[#This Row],[Date]],"mmm-yy")</f>
        <v>Jan-26</v>
      </c>
      <c r="G312" s="236">
        <f t="shared" si="21"/>
        <v>31</v>
      </c>
      <c r="H312" s="120">
        <f t="shared" si="20"/>
        <v>46053</v>
      </c>
      <c r="I312" s="1">
        <v>8.0208999999999993</v>
      </c>
      <c r="J312" s="1">
        <f>'Raw Data'!K312/Inv_SY!J$2</f>
        <v>0</v>
      </c>
      <c r="K312" s="1">
        <f>'Raw Data'!L312/Inv_SY!K$2</f>
        <v>0</v>
      </c>
      <c r="L312" s="1">
        <f>'Raw Data'!M312/Inv_SY!L$2</f>
        <v>0</v>
      </c>
      <c r="M312" s="1">
        <f>'Raw Data'!N312/Inv_SY!M$2</f>
        <v>0</v>
      </c>
      <c r="N312" s="1">
        <f>'Raw Data'!O312/Inv_SY!N$2</f>
        <v>0</v>
      </c>
      <c r="O312" s="1">
        <f>'Raw Data'!P312/Inv_SY!O$2</f>
        <v>0</v>
      </c>
      <c r="P312" s="1">
        <f>'Raw Data'!Q312/Inv_SY!P$2</f>
        <v>0</v>
      </c>
      <c r="Q312" s="1">
        <f>'Raw Data'!R312/Inv_SY!Q$2</f>
        <v>0</v>
      </c>
      <c r="R312" s="1">
        <f>'Raw Data'!S312/Inv_SY!R$2</f>
        <v>0</v>
      </c>
      <c r="S312" s="1">
        <f>'Raw Data'!T312/Inv_SY!S$2</f>
        <v>0</v>
      </c>
      <c r="T312" s="1">
        <f>'Raw Data'!U312/Inv_SY!T$2</f>
        <v>0</v>
      </c>
      <c r="U312" s="1">
        <f>'Raw Data'!V312/Inv_SY!U$2</f>
        <v>0</v>
      </c>
      <c r="V312" s="1">
        <f>'Raw Data'!W312/Inv_SY!V$2</f>
        <v>0</v>
      </c>
      <c r="W312" s="1">
        <f>'Raw Data'!X312/Inv_SY!W$2</f>
        <v>0</v>
      </c>
      <c r="X312" s="1">
        <f>'Raw Data'!Y312/Inv_SY!X$2</f>
        <v>0</v>
      </c>
      <c r="Y312" s="1" t="str">
        <f t="shared" si="22"/>
        <v/>
      </c>
      <c r="Z312" s="1">
        <f t="shared" si="23"/>
        <v>0</v>
      </c>
    </row>
    <row r="313" spans="1:26" x14ac:dyDescent="0.3">
      <c r="A313" s="236"/>
      <c r="B313" s="236"/>
      <c r="C313" s="236">
        <f>YEAR(Table12[[#This Row],[Date]])</f>
        <v>2026</v>
      </c>
      <c r="D313" s="236"/>
      <c r="E313" s="236"/>
      <c r="F313" s="237" t="str">
        <f>TEXT(Table12[[#This Row],[Date]],"mmm-yy")</f>
        <v>Feb-26</v>
      </c>
      <c r="G313" s="236">
        <f t="shared" si="21"/>
        <v>28</v>
      </c>
      <c r="H313" s="120">
        <f t="shared" si="20"/>
        <v>46054</v>
      </c>
      <c r="I313" s="1">
        <v>8.0208999999999993</v>
      </c>
      <c r="J313" s="1">
        <f>'Raw Data'!K313/Inv_SY!J$2</f>
        <v>0</v>
      </c>
      <c r="K313" s="1">
        <f>'Raw Data'!L313/Inv_SY!K$2</f>
        <v>0</v>
      </c>
      <c r="L313" s="1">
        <f>'Raw Data'!M313/Inv_SY!L$2</f>
        <v>0</v>
      </c>
      <c r="M313" s="1">
        <f>'Raw Data'!N313/Inv_SY!M$2</f>
        <v>0</v>
      </c>
      <c r="N313" s="1">
        <f>'Raw Data'!O313/Inv_SY!N$2</f>
        <v>0</v>
      </c>
      <c r="O313" s="1">
        <f>'Raw Data'!P313/Inv_SY!O$2</f>
        <v>0</v>
      </c>
      <c r="P313" s="1">
        <f>'Raw Data'!Q313/Inv_SY!P$2</f>
        <v>0</v>
      </c>
      <c r="Q313" s="1">
        <f>'Raw Data'!R313/Inv_SY!Q$2</f>
        <v>0</v>
      </c>
      <c r="R313" s="1">
        <f>'Raw Data'!S313/Inv_SY!R$2</f>
        <v>0</v>
      </c>
      <c r="S313" s="1">
        <f>'Raw Data'!T313/Inv_SY!S$2</f>
        <v>0</v>
      </c>
      <c r="T313" s="1">
        <f>'Raw Data'!U313/Inv_SY!T$2</f>
        <v>0</v>
      </c>
      <c r="U313" s="1">
        <f>'Raw Data'!V313/Inv_SY!U$2</f>
        <v>0</v>
      </c>
      <c r="V313" s="1">
        <f>'Raw Data'!W313/Inv_SY!V$2</f>
        <v>0</v>
      </c>
      <c r="W313" s="1">
        <f>'Raw Data'!X313/Inv_SY!W$2</f>
        <v>0</v>
      </c>
      <c r="X313" s="1">
        <f>'Raw Data'!Y313/Inv_SY!X$2</f>
        <v>0</v>
      </c>
      <c r="Y313" s="1" t="str">
        <f t="shared" si="22"/>
        <v/>
      </c>
      <c r="Z313" s="1">
        <f t="shared" si="23"/>
        <v>0</v>
      </c>
    </row>
    <row r="314" spans="1:26" x14ac:dyDescent="0.3">
      <c r="A314" s="236"/>
      <c r="B314" s="236"/>
      <c r="C314" s="236">
        <f>YEAR(Table12[[#This Row],[Date]])</f>
        <v>2026</v>
      </c>
      <c r="D314" s="236"/>
      <c r="E314" s="236"/>
      <c r="F314" s="237" t="str">
        <f>TEXT(Table12[[#This Row],[Date]],"mmm-yy")</f>
        <v>Feb-26</v>
      </c>
      <c r="G314" s="236">
        <f t="shared" si="21"/>
        <v>28</v>
      </c>
      <c r="H314" s="120">
        <f t="shared" si="20"/>
        <v>46055</v>
      </c>
      <c r="I314" s="1">
        <v>8.0208999999999993</v>
      </c>
      <c r="J314" s="1">
        <f>'Raw Data'!K314/Inv_SY!J$2</f>
        <v>0</v>
      </c>
      <c r="K314" s="1">
        <f>'Raw Data'!L314/Inv_SY!K$2</f>
        <v>0</v>
      </c>
      <c r="L314" s="1">
        <f>'Raw Data'!M314/Inv_SY!L$2</f>
        <v>0</v>
      </c>
      <c r="M314" s="1">
        <f>'Raw Data'!N314/Inv_SY!M$2</f>
        <v>0</v>
      </c>
      <c r="N314" s="1">
        <f>'Raw Data'!O314/Inv_SY!N$2</f>
        <v>0</v>
      </c>
      <c r="O314" s="1">
        <f>'Raw Data'!P314/Inv_SY!O$2</f>
        <v>0</v>
      </c>
      <c r="P314" s="1">
        <f>'Raw Data'!Q314/Inv_SY!P$2</f>
        <v>0</v>
      </c>
      <c r="Q314" s="1">
        <f>'Raw Data'!R314/Inv_SY!Q$2</f>
        <v>0</v>
      </c>
      <c r="R314" s="1">
        <f>'Raw Data'!S314/Inv_SY!R$2</f>
        <v>0</v>
      </c>
      <c r="S314" s="1">
        <f>'Raw Data'!T314/Inv_SY!S$2</f>
        <v>0</v>
      </c>
      <c r="T314" s="1">
        <f>'Raw Data'!U314/Inv_SY!T$2</f>
        <v>0</v>
      </c>
      <c r="U314" s="1">
        <f>'Raw Data'!V314/Inv_SY!U$2</f>
        <v>0</v>
      </c>
      <c r="V314" s="1">
        <f>'Raw Data'!W314/Inv_SY!V$2</f>
        <v>0</v>
      </c>
      <c r="W314" s="1">
        <f>'Raw Data'!X314/Inv_SY!W$2</f>
        <v>0</v>
      </c>
      <c r="X314" s="1">
        <f>'Raw Data'!Y314/Inv_SY!X$2</f>
        <v>0</v>
      </c>
      <c r="Y314" s="1" t="str">
        <f t="shared" si="22"/>
        <v/>
      </c>
      <c r="Z314" s="1">
        <f t="shared" si="23"/>
        <v>0</v>
      </c>
    </row>
    <row r="315" spans="1:26" x14ac:dyDescent="0.3">
      <c r="A315" s="236"/>
      <c r="B315" s="236"/>
      <c r="C315" s="236">
        <f>YEAR(Table12[[#This Row],[Date]])</f>
        <v>2026</v>
      </c>
      <c r="D315" s="236"/>
      <c r="E315" s="236"/>
      <c r="F315" s="237" t="str">
        <f>TEXT(Table12[[#This Row],[Date]],"mmm-yy")</f>
        <v>Feb-26</v>
      </c>
      <c r="G315" s="236">
        <f t="shared" si="21"/>
        <v>28</v>
      </c>
      <c r="H315" s="120">
        <f t="shared" si="20"/>
        <v>46056</v>
      </c>
      <c r="I315" s="1">
        <v>8.0208999999999993</v>
      </c>
      <c r="J315" s="1">
        <f>'Raw Data'!K315/Inv_SY!J$2</f>
        <v>0</v>
      </c>
      <c r="K315" s="1">
        <f>'Raw Data'!L315/Inv_SY!K$2</f>
        <v>0</v>
      </c>
      <c r="L315" s="1">
        <f>'Raw Data'!M315/Inv_SY!L$2</f>
        <v>0</v>
      </c>
      <c r="M315" s="1">
        <f>'Raw Data'!N315/Inv_SY!M$2</f>
        <v>0</v>
      </c>
      <c r="N315" s="1">
        <f>'Raw Data'!O315/Inv_SY!N$2</f>
        <v>0</v>
      </c>
      <c r="O315" s="1">
        <f>'Raw Data'!P315/Inv_SY!O$2</f>
        <v>0</v>
      </c>
      <c r="P315" s="1">
        <f>'Raw Data'!Q315/Inv_SY!P$2</f>
        <v>0</v>
      </c>
      <c r="Q315" s="1">
        <f>'Raw Data'!R315/Inv_SY!Q$2</f>
        <v>0</v>
      </c>
      <c r="R315" s="1">
        <f>'Raw Data'!S315/Inv_SY!R$2</f>
        <v>0</v>
      </c>
      <c r="S315" s="1">
        <f>'Raw Data'!T315/Inv_SY!S$2</f>
        <v>0</v>
      </c>
      <c r="T315" s="1">
        <f>'Raw Data'!U315/Inv_SY!T$2</f>
        <v>0</v>
      </c>
      <c r="U315" s="1">
        <f>'Raw Data'!V315/Inv_SY!U$2</f>
        <v>0</v>
      </c>
      <c r="V315" s="1">
        <f>'Raw Data'!W315/Inv_SY!V$2</f>
        <v>0</v>
      </c>
      <c r="W315" s="1">
        <f>'Raw Data'!X315/Inv_SY!W$2</f>
        <v>0</v>
      </c>
      <c r="X315" s="1">
        <f>'Raw Data'!Y315/Inv_SY!X$2</f>
        <v>0</v>
      </c>
      <c r="Y315" s="1" t="str">
        <f t="shared" si="22"/>
        <v/>
      </c>
      <c r="Z315" s="1">
        <f t="shared" si="23"/>
        <v>0</v>
      </c>
    </row>
    <row r="316" spans="1:26" x14ac:dyDescent="0.3">
      <c r="A316" s="236"/>
      <c r="B316" s="236"/>
      <c r="C316" s="236">
        <f>YEAR(Table12[[#This Row],[Date]])</f>
        <v>2026</v>
      </c>
      <c r="D316" s="236"/>
      <c r="E316" s="236"/>
      <c r="F316" s="237" t="str">
        <f>TEXT(Table12[[#This Row],[Date]],"mmm-yy")</f>
        <v>Feb-26</v>
      </c>
      <c r="G316" s="236">
        <f t="shared" si="21"/>
        <v>28</v>
      </c>
      <c r="H316" s="120">
        <f t="shared" si="20"/>
        <v>46057</v>
      </c>
      <c r="I316" s="1">
        <v>8.0208999999999993</v>
      </c>
      <c r="J316" s="1">
        <f>'Raw Data'!K316/Inv_SY!J$2</f>
        <v>0</v>
      </c>
      <c r="K316" s="1">
        <f>'Raw Data'!L316/Inv_SY!K$2</f>
        <v>0</v>
      </c>
      <c r="L316" s="1">
        <f>'Raw Data'!M316/Inv_SY!L$2</f>
        <v>0</v>
      </c>
      <c r="M316" s="1">
        <f>'Raw Data'!N316/Inv_SY!M$2</f>
        <v>0</v>
      </c>
      <c r="N316" s="1">
        <f>'Raw Data'!O316/Inv_SY!N$2</f>
        <v>0</v>
      </c>
      <c r="O316" s="1">
        <f>'Raw Data'!P316/Inv_SY!O$2</f>
        <v>0</v>
      </c>
      <c r="P316" s="1">
        <f>'Raw Data'!Q316/Inv_SY!P$2</f>
        <v>0</v>
      </c>
      <c r="Q316" s="1">
        <f>'Raw Data'!R316/Inv_SY!Q$2</f>
        <v>0</v>
      </c>
      <c r="R316" s="1">
        <f>'Raw Data'!S316/Inv_SY!R$2</f>
        <v>0</v>
      </c>
      <c r="S316" s="1">
        <f>'Raw Data'!T316/Inv_SY!S$2</f>
        <v>0</v>
      </c>
      <c r="T316" s="1">
        <f>'Raw Data'!U316/Inv_SY!T$2</f>
        <v>0</v>
      </c>
      <c r="U316" s="1">
        <f>'Raw Data'!V316/Inv_SY!U$2</f>
        <v>0</v>
      </c>
      <c r="V316" s="1">
        <f>'Raw Data'!W316/Inv_SY!V$2</f>
        <v>0</v>
      </c>
      <c r="W316" s="1">
        <f>'Raw Data'!X316/Inv_SY!W$2</f>
        <v>0</v>
      </c>
      <c r="X316" s="1">
        <f>'Raw Data'!Y316/Inv_SY!X$2</f>
        <v>0</v>
      </c>
      <c r="Y316" s="1" t="str">
        <f t="shared" si="22"/>
        <v/>
      </c>
      <c r="Z316" s="1">
        <f t="shared" si="23"/>
        <v>0</v>
      </c>
    </row>
    <row r="317" spans="1:26" x14ac:dyDescent="0.3">
      <c r="A317" s="236"/>
      <c r="B317" s="236"/>
      <c r="C317" s="236">
        <f>YEAR(Table12[[#This Row],[Date]])</f>
        <v>2026</v>
      </c>
      <c r="D317" s="236"/>
      <c r="E317" s="236"/>
      <c r="F317" s="237" t="str">
        <f>TEXT(Table12[[#This Row],[Date]],"mmm-yy")</f>
        <v>Feb-26</v>
      </c>
      <c r="G317" s="236">
        <f t="shared" si="21"/>
        <v>28</v>
      </c>
      <c r="H317" s="120">
        <f t="shared" si="20"/>
        <v>46058</v>
      </c>
      <c r="I317" s="1">
        <v>8.0208999999999993</v>
      </c>
      <c r="J317" s="1">
        <f>'Raw Data'!K317/Inv_SY!J$2</f>
        <v>0</v>
      </c>
      <c r="K317" s="1">
        <f>'Raw Data'!L317/Inv_SY!K$2</f>
        <v>0</v>
      </c>
      <c r="L317" s="1">
        <f>'Raw Data'!M317/Inv_SY!L$2</f>
        <v>0</v>
      </c>
      <c r="M317" s="1">
        <f>'Raw Data'!N317/Inv_SY!M$2</f>
        <v>0</v>
      </c>
      <c r="N317" s="1">
        <f>'Raw Data'!O317/Inv_SY!N$2</f>
        <v>0</v>
      </c>
      <c r="O317" s="1">
        <f>'Raw Data'!P317/Inv_SY!O$2</f>
        <v>0</v>
      </c>
      <c r="P317" s="1">
        <f>'Raw Data'!Q317/Inv_SY!P$2</f>
        <v>0</v>
      </c>
      <c r="Q317" s="1">
        <f>'Raw Data'!R317/Inv_SY!Q$2</f>
        <v>0</v>
      </c>
      <c r="R317" s="1">
        <f>'Raw Data'!S317/Inv_SY!R$2</f>
        <v>0</v>
      </c>
      <c r="S317" s="1">
        <f>'Raw Data'!T317/Inv_SY!S$2</f>
        <v>0</v>
      </c>
      <c r="T317" s="1">
        <f>'Raw Data'!U317/Inv_SY!T$2</f>
        <v>0</v>
      </c>
      <c r="U317" s="1">
        <f>'Raw Data'!V317/Inv_SY!U$2</f>
        <v>0</v>
      </c>
      <c r="V317" s="1">
        <f>'Raw Data'!W317/Inv_SY!V$2</f>
        <v>0</v>
      </c>
      <c r="W317" s="1">
        <f>'Raw Data'!X317/Inv_SY!W$2</f>
        <v>0</v>
      </c>
      <c r="X317" s="1">
        <f>'Raw Data'!Y317/Inv_SY!X$2</f>
        <v>0</v>
      </c>
      <c r="Y317" s="1" t="str">
        <f t="shared" si="22"/>
        <v/>
      </c>
      <c r="Z317" s="1">
        <f t="shared" si="23"/>
        <v>0</v>
      </c>
    </row>
    <row r="318" spans="1:26" x14ac:dyDescent="0.3">
      <c r="A318" s="236"/>
      <c r="B318" s="236"/>
      <c r="C318" s="236">
        <f>YEAR(Table12[[#This Row],[Date]])</f>
        <v>2026</v>
      </c>
      <c r="D318" s="236"/>
      <c r="E318" s="236"/>
      <c r="F318" s="237" t="str">
        <f>TEXT(Table12[[#This Row],[Date]],"mmm-yy")</f>
        <v>Feb-26</v>
      </c>
      <c r="G318" s="236">
        <f t="shared" si="21"/>
        <v>28</v>
      </c>
      <c r="H318" s="120">
        <f t="shared" si="20"/>
        <v>46059</v>
      </c>
      <c r="I318" s="1">
        <v>8.0208999999999993</v>
      </c>
      <c r="J318" s="1">
        <f>'Raw Data'!K318/Inv_SY!J$2</f>
        <v>0</v>
      </c>
      <c r="K318" s="1">
        <f>'Raw Data'!L318/Inv_SY!K$2</f>
        <v>0</v>
      </c>
      <c r="L318" s="1">
        <f>'Raw Data'!M318/Inv_SY!L$2</f>
        <v>0</v>
      </c>
      <c r="M318" s="1">
        <f>'Raw Data'!N318/Inv_SY!M$2</f>
        <v>0</v>
      </c>
      <c r="N318" s="1">
        <f>'Raw Data'!O318/Inv_SY!N$2</f>
        <v>0</v>
      </c>
      <c r="O318" s="1">
        <f>'Raw Data'!P318/Inv_SY!O$2</f>
        <v>0</v>
      </c>
      <c r="P318" s="1">
        <f>'Raw Data'!Q318/Inv_SY!P$2</f>
        <v>0</v>
      </c>
      <c r="Q318" s="1">
        <f>'Raw Data'!R318/Inv_SY!Q$2</f>
        <v>0</v>
      </c>
      <c r="R318" s="1">
        <f>'Raw Data'!S318/Inv_SY!R$2</f>
        <v>0</v>
      </c>
      <c r="S318" s="1">
        <f>'Raw Data'!T318/Inv_SY!S$2</f>
        <v>0</v>
      </c>
      <c r="T318" s="1">
        <f>'Raw Data'!U318/Inv_SY!T$2</f>
        <v>0</v>
      </c>
      <c r="U318" s="1">
        <f>'Raw Data'!V318/Inv_SY!U$2</f>
        <v>0</v>
      </c>
      <c r="V318" s="1">
        <f>'Raw Data'!W318/Inv_SY!V$2</f>
        <v>0</v>
      </c>
      <c r="W318" s="1">
        <f>'Raw Data'!X318/Inv_SY!W$2</f>
        <v>0</v>
      </c>
      <c r="X318" s="1">
        <f>'Raw Data'!Y318/Inv_SY!X$2</f>
        <v>0</v>
      </c>
      <c r="Y318" s="1" t="str">
        <f t="shared" si="22"/>
        <v/>
      </c>
      <c r="Z318" s="1">
        <f t="shared" si="23"/>
        <v>0</v>
      </c>
    </row>
    <row r="319" spans="1:26" x14ac:dyDescent="0.3">
      <c r="A319" s="236"/>
      <c r="B319" s="236"/>
      <c r="C319" s="236">
        <f>YEAR(Table12[[#This Row],[Date]])</f>
        <v>2026</v>
      </c>
      <c r="D319" s="236"/>
      <c r="E319" s="236"/>
      <c r="F319" s="237" t="str">
        <f>TEXT(Table12[[#This Row],[Date]],"mmm-yy")</f>
        <v>Feb-26</v>
      </c>
      <c r="G319" s="236">
        <f t="shared" si="21"/>
        <v>28</v>
      </c>
      <c r="H319" s="120">
        <f t="shared" si="20"/>
        <v>46060</v>
      </c>
      <c r="I319" s="1">
        <v>8.0208999999999993</v>
      </c>
      <c r="J319" s="1">
        <f>'Raw Data'!K319/Inv_SY!J$2</f>
        <v>0</v>
      </c>
      <c r="K319" s="1">
        <f>'Raw Data'!L319/Inv_SY!K$2</f>
        <v>0</v>
      </c>
      <c r="L319" s="1">
        <f>'Raw Data'!M319/Inv_SY!L$2</f>
        <v>0</v>
      </c>
      <c r="M319" s="1">
        <f>'Raw Data'!N319/Inv_SY!M$2</f>
        <v>0</v>
      </c>
      <c r="N319" s="1">
        <f>'Raw Data'!O319/Inv_SY!N$2</f>
        <v>0</v>
      </c>
      <c r="O319" s="1">
        <f>'Raw Data'!P319/Inv_SY!O$2</f>
        <v>0</v>
      </c>
      <c r="P319" s="1">
        <f>'Raw Data'!Q319/Inv_SY!P$2</f>
        <v>0</v>
      </c>
      <c r="Q319" s="1">
        <f>'Raw Data'!R319/Inv_SY!Q$2</f>
        <v>0</v>
      </c>
      <c r="R319" s="1">
        <f>'Raw Data'!S319/Inv_SY!R$2</f>
        <v>0</v>
      </c>
      <c r="S319" s="1">
        <f>'Raw Data'!T319/Inv_SY!S$2</f>
        <v>0</v>
      </c>
      <c r="T319" s="1">
        <f>'Raw Data'!U319/Inv_SY!T$2</f>
        <v>0</v>
      </c>
      <c r="U319" s="1">
        <f>'Raw Data'!V319/Inv_SY!U$2</f>
        <v>0</v>
      </c>
      <c r="V319" s="1">
        <f>'Raw Data'!W319/Inv_SY!V$2</f>
        <v>0</v>
      </c>
      <c r="W319" s="1">
        <f>'Raw Data'!X319/Inv_SY!W$2</f>
        <v>0</v>
      </c>
      <c r="X319" s="1">
        <f>'Raw Data'!Y319/Inv_SY!X$2</f>
        <v>0</v>
      </c>
      <c r="Y319" s="1" t="str">
        <f t="shared" si="22"/>
        <v/>
      </c>
      <c r="Z319" s="1">
        <f t="shared" si="23"/>
        <v>0</v>
      </c>
    </row>
    <row r="320" spans="1:26" x14ac:dyDescent="0.3">
      <c r="A320" s="236"/>
      <c r="B320" s="236"/>
      <c r="C320" s="236">
        <f>YEAR(Table12[[#This Row],[Date]])</f>
        <v>2026</v>
      </c>
      <c r="D320" s="236"/>
      <c r="E320" s="236"/>
      <c r="F320" s="237" t="str">
        <f>TEXT(Table12[[#This Row],[Date]],"mmm-yy")</f>
        <v>Feb-26</v>
      </c>
      <c r="G320" s="236">
        <f t="shared" si="21"/>
        <v>28</v>
      </c>
      <c r="H320" s="120">
        <f t="shared" si="20"/>
        <v>46061</v>
      </c>
      <c r="I320" s="1">
        <v>8.0208999999999993</v>
      </c>
      <c r="J320" s="1">
        <f>'Raw Data'!K320/Inv_SY!J$2</f>
        <v>0</v>
      </c>
      <c r="K320" s="1">
        <f>'Raw Data'!L320/Inv_SY!K$2</f>
        <v>0</v>
      </c>
      <c r="L320" s="1">
        <f>'Raw Data'!M320/Inv_SY!L$2</f>
        <v>0</v>
      </c>
      <c r="M320" s="1">
        <f>'Raw Data'!N320/Inv_SY!M$2</f>
        <v>0</v>
      </c>
      <c r="N320" s="1">
        <f>'Raw Data'!O320/Inv_SY!N$2</f>
        <v>0</v>
      </c>
      <c r="O320" s="1">
        <f>'Raw Data'!P320/Inv_SY!O$2</f>
        <v>0</v>
      </c>
      <c r="P320" s="1">
        <f>'Raw Data'!Q320/Inv_SY!P$2</f>
        <v>0</v>
      </c>
      <c r="Q320" s="1">
        <f>'Raw Data'!R320/Inv_SY!Q$2</f>
        <v>0</v>
      </c>
      <c r="R320" s="1">
        <f>'Raw Data'!S320/Inv_SY!R$2</f>
        <v>0</v>
      </c>
      <c r="S320" s="1">
        <f>'Raw Data'!T320/Inv_SY!S$2</f>
        <v>0</v>
      </c>
      <c r="T320" s="1">
        <f>'Raw Data'!U320/Inv_SY!T$2</f>
        <v>0</v>
      </c>
      <c r="U320" s="1">
        <f>'Raw Data'!V320/Inv_SY!U$2</f>
        <v>0</v>
      </c>
      <c r="V320" s="1">
        <f>'Raw Data'!W320/Inv_SY!V$2</f>
        <v>0</v>
      </c>
      <c r="W320" s="1">
        <f>'Raw Data'!X320/Inv_SY!W$2</f>
        <v>0</v>
      </c>
      <c r="X320" s="1">
        <f>'Raw Data'!Y320/Inv_SY!X$2</f>
        <v>0</v>
      </c>
      <c r="Y320" s="1" t="str">
        <f t="shared" si="22"/>
        <v/>
      </c>
      <c r="Z320" s="1">
        <f t="shared" si="23"/>
        <v>0</v>
      </c>
    </row>
    <row r="321" spans="1:26" x14ac:dyDescent="0.3">
      <c r="A321" s="236"/>
      <c r="B321" s="236"/>
      <c r="C321" s="236">
        <f>YEAR(Table12[[#This Row],[Date]])</f>
        <v>2026</v>
      </c>
      <c r="D321" s="236"/>
      <c r="E321" s="236"/>
      <c r="F321" s="237" t="str">
        <f>TEXT(Table12[[#This Row],[Date]],"mmm-yy")</f>
        <v>Feb-26</v>
      </c>
      <c r="G321" s="236">
        <f t="shared" si="21"/>
        <v>28</v>
      </c>
      <c r="H321" s="120">
        <f t="shared" si="20"/>
        <v>46062</v>
      </c>
      <c r="I321" s="1">
        <v>8.0208999999999993</v>
      </c>
      <c r="J321" s="1">
        <f>'Raw Data'!K321/Inv_SY!J$2</f>
        <v>0</v>
      </c>
      <c r="K321" s="1">
        <f>'Raw Data'!L321/Inv_SY!K$2</f>
        <v>0</v>
      </c>
      <c r="L321" s="1">
        <f>'Raw Data'!M321/Inv_SY!L$2</f>
        <v>0</v>
      </c>
      <c r="M321" s="1">
        <f>'Raw Data'!N321/Inv_SY!M$2</f>
        <v>0</v>
      </c>
      <c r="N321" s="1">
        <f>'Raw Data'!O321/Inv_SY!N$2</f>
        <v>0</v>
      </c>
      <c r="O321" s="1">
        <f>'Raw Data'!P321/Inv_SY!O$2</f>
        <v>0</v>
      </c>
      <c r="P321" s="1">
        <f>'Raw Data'!Q321/Inv_SY!P$2</f>
        <v>0</v>
      </c>
      <c r="Q321" s="1">
        <f>'Raw Data'!R321/Inv_SY!Q$2</f>
        <v>0</v>
      </c>
      <c r="R321" s="1">
        <f>'Raw Data'!S321/Inv_SY!R$2</f>
        <v>0</v>
      </c>
      <c r="S321" s="1">
        <f>'Raw Data'!T321/Inv_SY!S$2</f>
        <v>0</v>
      </c>
      <c r="T321" s="1">
        <f>'Raw Data'!U321/Inv_SY!T$2</f>
        <v>0</v>
      </c>
      <c r="U321" s="1">
        <f>'Raw Data'!V321/Inv_SY!U$2</f>
        <v>0</v>
      </c>
      <c r="V321" s="1">
        <f>'Raw Data'!W321/Inv_SY!V$2</f>
        <v>0</v>
      </c>
      <c r="W321" s="1">
        <f>'Raw Data'!X321/Inv_SY!W$2</f>
        <v>0</v>
      </c>
      <c r="X321" s="1">
        <f>'Raw Data'!Y321/Inv_SY!X$2</f>
        <v>0</v>
      </c>
      <c r="Y321" s="1" t="str">
        <f t="shared" si="22"/>
        <v/>
      </c>
      <c r="Z321" s="1">
        <f t="shared" si="23"/>
        <v>0</v>
      </c>
    </row>
    <row r="322" spans="1:26" x14ac:dyDescent="0.3">
      <c r="A322" s="236"/>
      <c r="B322" s="236"/>
      <c r="C322" s="236">
        <f>YEAR(Table12[[#This Row],[Date]])</f>
        <v>2026</v>
      </c>
      <c r="D322" s="236"/>
      <c r="E322" s="236"/>
      <c r="F322" s="237" t="str">
        <f>TEXT(Table12[[#This Row],[Date]],"mmm-yy")</f>
        <v>Feb-26</v>
      </c>
      <c r="G322" s="236">
        <f t="shared" si="21"/>
        <v>28</v>
      </c>
      <c r="H322" s="120">
        <f t="shared" si="20"/>
        <v>46063</v>
      </c>
      <c r="I322" s="1">
        <v>8.0208999999999993</v>
      </c>
      <c r="J322" s="1">
        <f>'Raw Data'!K322/Inv_SY!J$2</f>
        <v>0</v>
      </c>
      <c r="K322" s="1">
        <f>'Raw Data'!L322/Inv_SY!K$2</f>
        <v>0</v>
      </c>
      <c r="L322" s="1">
        <f>'Raw Data'!M322/Inv_SY!L$2</f>
        <v>0</v>
      </c>
      <c r="M322" s="1">
        <f>'Raw Data'!N322/Inv_SY!M$2</f>
        <v>0</v>
      </c>
      <c r="N322" s="1">
        <f>'Raw Data'!O322/Inv_SY!N$2</f>
        <v>0</v>
      </c>
      <c r="O322" s="1">
        <f>'Raw Data'!P322/Inv_SY!O$2</f>
        <v>0</v>
      </c>
      <c r="P322" s="1">
        <f>'Raw Data'!Q322/Inv_SY!P$2</f>
        <v>0</v>
      </c>
      <c r="Q322" s="1">
        <f>'Raw Data'!R322/Inv_SY!Q$2</f>
        <v>0</v>
      </c>
      <c r="R322" s="1">
        <f>'Raw Data'!S322/Inv_SY!R$2</f>
        <v>0</v>
      </c>
      <c r="S322" s="1">
        <f>'Raw Data'!T322/Inv_SY!S$2</f>
        <v>0</v>
      </c>
      <c r="T322" s="1">
        <f>'Raw Data'!U322/Inv_SY!T$2</f>
        <v>0</v>
      </c>
      <c r="U322" s="1">
        <f>'Raw Data'!V322/Inv_SY!U$2</f>
        <v>0</v>
      </c>
      <c r="V322" s="1">
        <f>'Raw Data'!W322/Inv_SY!V$2</f>
        <v>0</v>
      </c>
      <c r="W322" s="1">
        <f>'Raw Data'!X322/Inv_SY!W$2</f>
        <v>0</v>
      </c>
      <c r="X322" s="1">
        <f>'Raw Data'!Y322/Inv_SY!X$2</f>
        <v>0</v>
      </c>
      <c r="Y322" s="1" t="str">
        <f t="shared" si="22"/>
        <v/>
      </c>
      <c r="Z322" s="1">
        <f t="shared" si="23"/>
        <v>0</v>
      </c>
    </row>
    <row r="323" spans="1:26" x14ac:dyDescent="0.3">
      <c r="A323" s="236"/>
      <c r="B323" s="236"/>
      <c r="C323" s="236">
        <f>YEAR(Table12[[#This Row],[Date]])</f>
        <v>2026</v>
      </c>
      <c r="D323" s="236"/>
      <c r="E323" s="236"/>
      <c r="F323" s="237" t="str">
        <f>TEXT(Table12[[#This Row],[Date]],"mmm-yy")</f>
        <v>Feb-26</v>
      </c>
      <c r="G323" s="236">
        <f t="shared" si="21"/>
        <v>28</v>
      </c>
      <c r="H323" s="120">
        <f t="shared" si="20"/>
        <v>46064</v>
      </c>
      <c r="I323" s="1">
        <v>8.0208999999999993</v>
      </c>
      <c r="J323" s="1">
        <f>'Raw Data'!K323/Inv_SY!J$2</f>
        <v>0</v>
      </c>
      <c r="K323" s="1">
        <f>'Raw Data'!L323/Inv_SY!K$2</f>
        <v>0</v>
      </c>
      <c r="L323" s="1">
        <f>'Raw Data'!M323/Inv_SY!L$2</f>
        <v>0</v>
      </c>
      <c r="M323" s="1">
        <f>'Raw Data'!N323/Inv_SY!M$2</f>
        <v>0</v>
      </c>
      <c r="N323" s="1">
        <f>'Raw Data'!O323/Inv_SY!N$2</f>
        <v>0</v>
      </c>
      <c r="O323" s="1">
        <f>'Raw Data'!P323/Inv_SY!O$2</f>
        <v>0</v>
      </c>
      <c r="P323" s="1">
        <f>'Raw Data'!Q323/Inv_SY!P$2</f>
        <v>0</v>
      </c>
      <c r="Q323" s="1">
        <f>'Raw Data'!R323/Inv_SY!Q$2</f>
        <v>0</v>
      </c>
      <c r="R323" s="1">
        <f>'Raw Data'!S323/Inv_SY!R$2</f>
        <v>0</v>
      </c>
      <c r="S323" s="1">
        <f>'Raw Data'!T323/Inv_SY!S$2</f>
        <v>0</v>
      </c>
      <c r="T323" s="1">
        <f>'Raw Data'!U323/Inv_SY!T$2</f>
        <v>0</v>
      </c>
      <c r="U323" s="1">
        <f>'Raw Data'!V323/Inv_SY!U$2</f>
        <v>0</v>
      </c>
      <c r="V323" s="1">
        <f>'Raw Data'!W323/Inv_SY!V$2</f>
        <v>0</v>
      </c>
      <c r="W323" s="1">
        <f>'Raw Data'!X323/Inv_SY!W$2</f>
        <v>0</v>
      </c>
      <c r="X323" s="1">
        <f>'Raw Data'!Y323/Inv_SY!X$2</f>
        <v>0</v>
      </c>
      <c r="Y323" s="1" t="str">
        <f t="shared" si="22"/>
        <v/>
      </c>
      <c r="Z323" s="1">
        <f t="shared" si="23"/>
        <v>0</v>
      </c>
    </row>
    <row r="324" spans="1:26" x14ac:dyDescent="0.3">
      <c r="A324" s="236"/>
      <c r="B324" s="236"/>
      <c r="C324" s="236">
        <f>YEAR(Table12[[#This Row],[Date]])</f>
        <v>2026</v>
      </c>
      <c r="D324" s="236"/>
      <c r="E324" s="236"/>
      <c r="F324" s="237" t="str">
        <f>TEXT(Table12[[#This Row],[Date]],"mmm-yy")</f>
        <v>Feb-26</v>
      </c>
      <c r="G324" s="236">
        <f t="shared" si="21"/>
        <v>28</v>
      </c>
      <c r="H324" s="120">
        <f t="shared" si="20"/>
        <v>46065</v>
      </c>
      <c r="I324" s="1">
        <v>8.0208999999999993</v>
      </c>
      <c r="J324" s="1">
        <f>'Raw Data'!K324/Inv_SY!J$2</f>
        <v>0</v>
      </c>
      <c r="K324" s="1">
        <f>'Raw Data'!L324/Inv_SY!K$2</f>
        <v>0</v>
      </c>
      <c r="L324" s="1">
        <f>'Raw Data'!M324/Inv_SY!L$2</f>
        <v>0</v>
      </c>
      <c r="M324" s="1">
        <f>'Raw Data'!N324/Inv_SY!M$2</f>
        <v>0</v>
      </c>
      <c r="N324" s="1">
        <f>'Raw Data'!O324/Inv_SY!N$2</f>
        <v>0</v>
      </c>
      <c r="O324" s="1">
        <f>'Raw Data'!P324/Inv_SY!O$2</f>
        <v>0</v>
      </c>
      <c r="P324" s="1">
        <f>'Raw Data'!Q324/Inv_SY!P$2</f>
        <v>0</v>
      </c>
      <c r="Q324" s="1">
        <f>'Raw Data'!R324/Inv_SY!Q$2</f>
        <v>0</v>
      </c>
      <c r="R324" s="1">
        <f>'Raw Data'!S324/Inv_SY!R$2</f>
        <v>0</v>
      </c>
      <c r="S324" s="1">
        <f>'Raw Data'!T324/Inv_SY!S$2</f>
        <v>0</v>
      </c>
      <c r="T324" s="1">
        <f>'Raw Data'!U324/Inv_SY!T$2</f>
        <v>0</v>
      </c>
      <c r="U324" s="1">
        <f>'Raw Data'!V324/Inv_SY!U$2</f>
        <v>0</v>
      </c>
      <c r="V324" s="1">
        <f>'Raw Data'!W324/Inv_SY!V$2</f>
        <v>0</v>
      </c>
      <c r="W324" s="1">
        <f>'Raw Data'!X324/Inv_SY!W$2</f>
        <v>0</v>
      </c>
      <c r="X324" s="1">
        <f>'Raw Data'!Y324/Inv_SY!X$2</f>
        <v>0</v>
      </c>
      <c r="Y324" s="1" t="str">
        <f t="shared" si="22"/>
        <v/>
      </c>
      <c r="Z324" s="1">
        <f t="shared" si="23"/>
        <v>0</v>
      </c>
    </row>
    <row r="325" spans="1:26" x14ac:dyDescent="0.3">
      <c r="A325" s="236"/>
      <c r="B325" s="236"/>
      <c r="C325" s="236">
        <f>YEAR(Table12[[#This Row],[Date]])</f>
        <v>2026</v>
      </c>
      <c r="D325" s="236"/>
      <c r="E325" s="236"/>
      <c r="F325" s="237" t="str">
        <f>TEXT(Table12[[#This Row],[Date]],"mmm-yy")</f>
        <v>Feb-26</v>
      </c>
      <c r="G325" s="236">
        <f t="shared" si="21"/>
        <v>28</v>
      </c>
      <c r="H325" s="120">
        <f t="shared" ref="H325:H353" si="24">H324+1</f>
        <v>46066</v>
      </c>
      <c r="I325" s="1">
        <v>8.0208999999999993</v>
      </c>
      <c r="J325" s="1">
        <f>'Raw Data'!K325/Inv_SY!J$2</f>
        <v>0</v>
      </c>
      <c r="K325" s="1">
        <f>'Raw Data'!L325/Inv_SY!K$2</f>
        <v>0</v>
      </c>
      <c r="L325" s="1">
        <f>'Raw Data'!M325/Inv_SY!L$2</f>
        <v>0</v>
      </c>
      <c r="M325" s="1">
        <f>'Raw Data'!N325/Inv_SY!M$2</f>
        <v>0</v>
      </c>
      <c r="N325" s="1">
        <f>'Raw Data'!O325/Inv_SY!N$2</f>
        <v>0</v>
      </c>
      <c r="O325" s="1">
        <f>'Raw Data'!P325/Inv_SY!O$2</f>
        <v>0</v>
      </c>
      <c r="P325" s="1">
        <f>'Raw Data'!Q325/Inv_SY!P$2</f>
        <v>0</v>
      </c>
      <c r="Q325" s="1">
        <f>'Raw Data'!R325/Inv_SY!Q$2</f>
        <v>0</v>
      </c>
      <c r="R325" s="1">
        <f>'Raw Data'!S325/Inv_SY!R$2</f>
        <v>0</v>
      </c>
      <c r="S325" s="1">
        <f>'Raw Data'!T325/Inv_SY!S$2</f>
        <v>0</v>
      </c>
      <c r="T325" s="1">
        <f>'Raw Data'!U325/Inv_SY!T$2</f>
        <v>0</v>
      </c>
      <c r="U325" s="1">
        <f>'Raw Data'!V325/Inv_SY!U$2</f>
        <v>0</v>
      </c>
      <c r="V325" s="1">
        <f>'Raw Data'!W325/Inv_SY!V$2</f>
        <v>0</v>
      </c>
      <c r="W325" s="1">
        <f>'Raw Data'!X325/Inv_SY!W$2</f>
        <v>0</v>
      </c>
      <c r="X325" s="1">
        <f>'Raw Data'!Y325/Inv_SY!X$2</f>
        <v>0</v>
      </c>
      <c r="Y325" s="1" t="str">
        <f t="shared" si="22"/>
        <v/>
      </c>
      <c r="Z325" s="1">
        <f t="shared" si="23"/>
        <v>0</v>
      </c>
    </row>
    <row r="326" spans="1:26" x14ac:dyDescent="0.3">
      <c r="A326" s="236"/>
      <c r="B326" s="236"/>
      <c r="C326" s="236">
        <f>YEAR(Table12[[#This Row],[Date]])</f>
        <v>2026</v>
      </c>
      <c r="D326" s="236"/>
      <c r="E326" s="236"/>
      <c r="F326" s="237" t="str">
        <f>TEXT(Table12[[#This Row],[Date]],"mmm-yy")</f>
        <v>Feb-26</v>
      </c>
      <c r="G326" s="236">
        <f t="shared" si="21"/>
        <v>28</v>
      </c>
      <c r="H326" s="120">
        <f t="shared" si="24"/>
        <v>46067</v>
      </c>
      <c r="I326" s="1">
        <v>8.0208999999999993</v>
      </c>
      <c r="J326" s="1">
        <f>'Raw Data'!K326/Inv_SY!J$2</f>
        <v>0</v>
      </c>
      <c r="K326" s="1">
        <f>'Raw Data'!L326/Inv_SY!K$2</f>
        <v>0</v>
      </c>
      <c r="L326" s="1">
        <f>'Raw Data'!M326/Inv_SY!L$2</f>
        <v>0</v>
      </c>
      <c r="M326" s="1">
        <f>'Raw Data'!N326/Inv_SY!M$2</f>
        <v>0</v>
      </c>
      <c r="N326" s="1">
        <f>'Raw Data'!O326/Inv_SY!N$2</f>
        <v>0</v>
      </c>
      <c r="O326" s="1">
        <f>'Raw Data'!P326/Inv_SY!O$2</f>
        <v>0</v>
      </c>
      <c r="P326" s="1">
        <f>'Raw Data'!Q326/Inv_SY!P$2</f>
        <v>0</v>
      </c>
      <c r="Q326" s="1">
        <f>'Raw Data'!R326/Inv_SY!Q$2</f>
        <v>0</v>
      </c>
      <c r="R326" s="1">
        <f>'Raw Data'!S326/Inv_SY!R$2</f>
        <v>0</v>
      </c>
      <c r="S326" s="1">
        <f>'Raw Data'!T326/Inv_SY!S$2</f>
        <v>0</v>
      </c>
      <c r="T326" s="1">
        <f>'Raw Data'!U326/Inv_SY!T$2</f>
        <v>0</v>
      </c>
      <c r="U326" s="1">
        <f>'Raw Data'!V326/Inv_SY!U$2</f>
        <v>0</v>
      </c>
      <c r="V326" s="1">
        <f>'Raw Data'!W326/Inv_SY!V$2</f>
        <v>0</v>
      </c>
      <c r="W326" s="1">
        <f>'Raw Data'!X326/Inv_SY!W$2</f>
        <v>0</v>
      </c>
      <c r="X326" s="1">
        <f>'Raw Data'!Y326/Inv_SY!X$2</f>
        <v>0</v>
      </c>
      <c r="Y326" s="1" t="str">
        <f t="shared" si="22"/>
        <v/>
      </c>
      <c r="Z326" s="1">
        <f t="shared" si="23"/>
        <v>0</v>
      </c>
    </row>
    <row r="327" spans="1:26" x14ac:dyDescent="0.3">
      <c r="A327" s="236"/>
      <c r="B327" s="236"/>
      <c r="C327" s="236">
        <f>YEAR(Table12[[#This Row],[Date]])</f>
        <v>2026</v>
      </c>
      <c r="D327" s="236"/>
      <c r="E327" s="236"/>
      <c r="F327" s="237" t="str">
        <f>TEXT(Table12[[#This Row],[Date]],"mmm-yy")</f>
        <v>Feb-26</v>
      </c>
      <c r="G327" s="236">
        <f t="shared" si="21"/>
        <v>28</v>
      </c>
      <c r="H327" s="120">
        <f t="shared" si="24"/>
        <v>46068</v>
      </c>
      <c r="I327" s="1">
        <v>8.0208999999999993</v>
      </c>
      <c r="J327" s="1">
        <f>'Raw Data'!K327/Inv_SY!J$2</f>
        <v>0</v>
      </c>
      <c r="K327" s="1">
        <f>'Raw Data'!L327/Inv_SY!K$2</f>
        <v>0</v>
      </c>
      <c r="L327" s="1">
        <f>'Raw Data'!M327/Inv_SY!L$2</f>
        <v>0</v>
      </c>
      <c r="M327" s="1">
        <f>'Raw Data'!N327/Inv_SY!M$2</f>
        <v>0</v>
      </c>
      <c r="N327" s="1">
        <f>'Raw Data'!O327/Inv_SY!N$2</f>
        <v>0</v>
      </c>
      <c r="O327" s="1">
        <f>'Raw Data'!P327/Inv_SY!O$2</f>
        <v>0</v>
      </c>
      <c r="P327" s="1">
        <f>'Raw Data'!Q327/Inv_SY!P$2</f>
        <v>0</v>
      </c>
      <c r="Q327" s="1">
        <f>'Raw Data'!R327/Inv_SY!Q$2</f>
        <v>0</v>
      </c>
      <c r="R327" s="1">
        <f>'Raw Data'!S327/Inv_SY!R$2</f>
        <v>0</v>
      </c>
      <c r="S327" s="1">
        <f>'Raw Data'!T327/Inv_SY!S$2</f>
        <v>0</v>
      </c>
      <c r="T327" s="1">
        <f>'Raw Data'!U327/Inv_SY!T$2</f>
        <v>0</v>
      </c>
      <c r="U327" s="1">
        <f>'Raw Data'!V327/Inv_SY!U$2</f>
        <v>0</v>
      </c>
      <c r="V327" s="1">
        <f>'Raw Data'!W327/Inv_SY!V$2</f>
        <v>0</v>
      </c>
      <c r="W327" s="1">
        <f>'Raw Data'!X327/Inv_SY!W$2</f>
        <v>0</v>
      </c>
      <c r="X327" s="1">
        <f>'Raw Data'!Y327/Inv_SY!X$2</f>
        <v>0</v>
      </c>
      <c r="Y327" s="1" t="str">
        <f t="shared" si="22"/>
        <v/>
      </c>
      <c r="Z327" s="1">
        <f t="shared" si="23"/>
        <v>0</v>
      </c>
    </row>
    <row r="328" spans="1:26" x14ac:dyDescent="0.3">
      <c r="A328" s="236"/>
      <c r="B328" s="236"/>
      <c r="C328" s="236">
        <f>YEAR(Table12[[#This Row],[Date]])</f>
        <v>2026</v>
      </c>
      <c r="D328" s="236"/>
      <c r="E328" s="236"/>
      <c r="F328" s="237" t="str">
        <f>TEXT(Table12[[#This Row],[Date]],"mmm-yy")</f>
        <v>Feb-26</v>
      </c>
      <c r="G328" s="236">
        <f t="shared" si="21"/>
        <v>28</v>
      </c>
      <c r="H328" s="120">
        <f t="shared" si="24"/>
        <v>46069</v>
      </c>
      <c r="I328" s="1">
        <v>8.0208999999999993</v>
      </c>
      <c r="J328" s="1">
        <f>'Raw Data'!K328/Inv_SY!J$2</f>
        <v>0</v>
      </c>
      <c r="K328" s="1">
        <f>'Raw Data'!L328/Inv_SY!K$2</f>
        <v>0</v>
      </c>
      <c r="L328" s="1">
        <f>'Raw Data'!M328/Inv_SY!L$2</f>
        <v>0</v>
      </c>
      <c r="M328" s="1">
        <f>'Raw Data'!N328/Inv_SY!M$2</f>
        <v>0</v>
      </c>
      <c r="N328" s="1">
        <f>'Raw Data'!O328/Inv_SY!N$2</f>
        <v>0</v>
      </c>
      <c r="O328" s="1">
        <f>'Raw Data'!P328/Inv_SY!O$2</f>
        <v>0</v>
      </c>
      <c r="P328" s="1">
        <f>'Raw Data'!Q328/Inv_SY!P$2</f>
        <v>0</v>
      </c>
      <c r="Q328" s="1">
        <f>'Raw Data'!R328/Inv_SY!Q$2</f>
        <v>0</v>
      </c>
      <c r="R328" s="1">
        <f>'Raw Data'!S328/Inv_SY!R$2</f>
        <v>0</v>
      </c>
      <c r="S328" s="1">
        <f>'Raw Data'!T328/Inv_SY!S$2</f>
        <v>0</v>
      </c>
      <c r="T328" s="1">
        <f>'Raw Data'!U328/Inv_SY!T$2</f>
        <v>0</v>
      </c>
      <c r="U328" s="1">
        <f>'Raw Data'!V328/Inv_SY!U$2</f>
        <v>0</v>
      </c>
      <c r="V328" s="1">
        <f>'Raw Data'!W328/Inv_SY!V$2</f>
        <v>0</v>
      </c>
      <c r="W328" s="1">
        <f>'Raw Data'!X328/Inv_SY!W$2</f>
        <v>0</v>
      </c>
      <c r="X328" s="1">
        <f>'Raw Data'!Y328/Inv_SY!X$2</f>
        <v>0</v>
      </c>
      <c r="Y328" s="1" t="str">
        <f t="shared" si="22"/>
        <v/>
      </c>
      <c r="Z328" s="1">
        <f t="shared" si="23"/>
        <v>0</v>
      </c>
    </row>
    <row r="329" spans="1:26" x14ac:dyDescent="0.3">
      <c r="A329" s="236"/>
      <c r="B329" s="236"/>
      <c r="C329" s="236">
        <f>YEAR(Table12[[#This Row],[Date]])</f>
        <v>2026</v>
      </c>
      <c r="D329" s="236"/>
      <c r="E329" s="236"/>
      <c r="F329" s="237" t="str">
        <f>TEXT(Table12[[#This Row],[Date]],"mmm-yy")</f>
        <v>Feb-26</v>
      </c>
      <c r="G329" s="236">
        <f t="shared" si="21"/>
        <v>28</v>
      </c>
      <c r="H329" s="120">
        <f t="shared" si="24"/>
        <v>46070</v>
      </c>
      <c r="I329" s="1">
        <v>8.0208999999999993</v>
      </c>
      <c r="J329" s="1">
        <f>'Raw Data'!K329/Inv_SY!J$2</f>
        <v>0</v>
      </c>
      <c r="K329" s="1">
        <f>'Raw Data'!L329/Inv_SY!K$2</f>
        <v>0</v>
      </c>
      <c r="L329" s="1">
        <f>'Raw Data'!M329/Inv_SY!L$2</f>
        <v>0</v>
      </c>
      <c r="M329" s="1">
        <f>'Raw Data'!N329/Inv_SY!M$2</f>
        <v>0</v>
      </c>
      <c r="N329" s="1">
        <f>'Raw Data'!O329/Inv_SY!N$2</f>
        <v>0</v>
      </c>
      <c r="O329" s="1">
        <f>'Raw Data'!P329/Inv_SY!O$2</f>
        <v>0</v>
      </c>
      <c r="P329" s="1">
        <f>'Raw Data'!Q329/Inv_SY!P$2</f>
        <v>0</v>
      </c>
      <c r="Q329" s="1">
        <f>'Raw Data'!R329/Inv_SY!Q$2</f>
        <v>0</v>
      </c>
      <c r="R329" s="1">
        <f>'Raw Data'!S329/Inv_SY!R$2</f>
        <v>0</v>
      </c>
      <c r="S329" s="1">
        <f>'Raw Data'!T329/Inv_SY!S$2</f>
        <v>0</v>
      </c>
      <c r="T329" s="1">
        <f>'Raw Data'!U329/Inv_SY!T$2</f>
        <v>0</v>
      </c>
      <c r="U329" s="1">
        <f>'Raw Data'!V329/Inv_SY!U$2</f>
        <v>0</v>
      </c>
      <c r="V329" s="1">
        <f>'Raw Data'!W329/Inv_SY!V$2</f>
        <v>0</v>
      </c>
      <c r="W329" s="1">
        <f>'Raw Data'!X329/Inv_SY!W$2</f>
        <v>0</v>
      </c>
      <c r="X329" s="1">
        <f>'Raw Data'!Y329/Inv_SY!X$2</f>
        <v>0</v>
      </c>
      <c r="Y329" s="1" t="str">
        <f t="shared" si="22"/>
        <v/>
      </c>
      <c r="Z329" s="1">
        <f t="shared" si="23"/>
        <v>0</v>
      </c>
    </row>
    <row r="330" spans="1:26" x14ac:dyDescent="0.3">
      <c r="A330" s="236"/>
      <c r="B330" s="236"/>
      <c r="C330" s="236">
        <f>YEAR(Table12[[#This Row],[Date]])</f>
        <v>2026</v>
      </c>
      <c r="D330" s="236"/>
      <c r="E330" s="236"/>
      <c r="F330" s="237" t="str">
        <f>TEXT(Table12[[#This Row],[Date]],"mmm-yy")</f>
        <v>Feb-26</v>
      </c>
      <c r="G330" s="236">
        <f t="shared" si="21"/>
        <v>28</v>
      </c>
      <c r="H330" s="120">
        <f t="shared" si="24"/>
        <v>46071</v>
      </c>
      <c r="I330" s="1">
        <v>8.0208999999999993</v>
      </c>
      <c r="J330" s="1">
        <f>'Raw Data'!K330/Inv_SY!J$2</f>
        <v>0</v>
      </c>
      <c r="K330" s="1">
        <f>'Raw Data'!L330/Inv_SY!K$2</f>
        <v>0</v>
      </c>
      <c r="L330" s="1">
        <f>'Raw Data'!M330/Inv_SY!L$2</f>
        <v>0</v>
      </c>
      <c r="M330" s="1">
        <f>'Raw Data'!N330/Inv_SY!M$2</f>
        <v>0</v>
      </c>
      <c r="N330" s="1">
        <f>'Raw Data'!O330/Inv_SY!N$2</f>
        <v>0</v>
      </c>
      <c r="O330" s="1">
        <f>'Raw Data'!P330/Inv_SY!O$2</f>
        <v>0</v>
      </c>
      <c r="P330" s="1">
        <f>'Raw Data'!Q330/Inv_SY!P$2</f>
        <v>0</v>
      </c>
      <c r="Q330" s="1">
        <f>'Raw Data'!R330/Inv_SY!Q$2</f>
        <v>0</v>
      </c>
      <c r="R330" s="1">
        <f>'Raw Data'!S330/Inv_SY!R$2</f>
        <v>0</v>
      </c>
      <c r="S330" s="1">
        <f>'Raw Data'!T330/Inv_SY!S$2</f>
        <v>0</v>
      </c>
      <c r="T330" s="1">
        <f>'Raw Data'!U330/Inv_SY!T$2</f>
        <v>0</v>
      </c>
      <c r="U330" s="1">
        <f>'Raw Data'!V330/Inv_SY!U$2</f>
        <v>0</v>
      </c>
      <c r="V330" s="1">
        <f>'Raw Data'!W330/Inv_SY!V$2</f>
        <v>0</v>
      </c>
      <c r="W330" s="1">
        <f>'Raw Data'!X330/Inv_SY!W$2</f>
        <v>0</v>
      </c>
      <c r="X330" s="1">
        <f>'Raw Data'!Y330/Inv_SY!X$2</f>
        <v>0</v>
      </c>
      <c r="Y330" s="1" t="str">
        <f t="shared" si="22"/>
        <v/>
      </c>
      <c r="Z330" s="1">
        <f t="shared" si="23"/>
        <v>0</v>
      </c>
    </row>
    <row r="331" spans="1:26" x14ac:dyDescent="0.3">
      <c r="A331" s="236"/>
      <c r="B331" s="236"/>
      <c r="C331" s="236">
        <f>YEAR(Table12[[#This Row],[Date]])</f>
        <v>2026</v>
      </c>
      <c r="D331" s="236"/>
      <c r="E331" s="236"/>
      <c r="F331" s="237" t="str">
        <f>TEXT(Table12[[#This Row],[Date]],"mmm-yy")</f>
        <v>Feb-26</v>
      </c>
      <c r="G331" s="236">
        <f t="shared" si="21"/>
        <v>28</v>
      </c>
      <c r="H331" s="120">
        <f t="shared" si="24"/>
        <v>46072</v>
      </c>
      <c r="I331" s="1">
        <v>8.0208999999999993</v>
      </c>
      <c r="J331" s="1">
        <f>'Raw Data'!K331/Inv_SY!J$2</f>
        <v>0</v>
      </c>
      <c r="K331" s="1">
        <f>'Raw Data'!L331/Inv_SY!K$2</f>
        <v>0</v>
      </c>
      <c r="L331" s="1">
        <f>'Raw Data'!M331/Inv_SY!L$2</f>
        <v>0</v>
      </c>
      <c r="M331" s="1">
        <f>'Raw Data'!N331/Inv_SY!M$2</f>
        <v>0</v>
      </c>
      <c r="N331" s="1">
        <f>'Raw Data'!O331/Inv_SY!N$2</f>
        <v>0</v>
      </c>
      <c r="O331" s="1">
        <f>'Raw Data'!P331/Inv_SY!O$2</f>
        <v>0</v>
      </c>
      <c r="P331" s="1">
        <f>'Raw Data'!Q331/Inv_SY!P$2</f>
        <v>0</v>
      </c>
      <c r="Q331" s="1">
        <f>'Raw Data'!R331/Inv_SY!Q$2</f>
        <v>0</v>
      </c>
      <c r="R331" s="1">
        <f>'Raw Data'!S331/Inv_SY!R$2</f>
        <v>0</v>
      </c>
      <c r="S331" s="1">
        <f>'Raw Data'!T331/Inv_SY!S$2</f>
        <v>0</v>
      </c>
      <c r="T331" s="1">
        <f>'Raw Data'!U331/Inv_SY!T$2</f>
        <v>0</v>
      </c>
      <c r="U331" s="1">
        <f>'Raw Data'!V331/Inv_SY!U$2</f>
        <v>0</v>
      </c>
      <c r="V331" s="1">
        <f>'Raw Data'!W331/Inv_SY!V$2</f>
        <v>0</v>
      </c>
      <c r="W331" s="1">
        <f>'Raw Data'!X331/Inv_SY!W$2</f>
        <v>0</v>
      </c>
      <c r="X331" s="1">
        <f>'Raw Data'!Y331/Inv_SY!X$2</f>
        <v>0</v>
      </c>
      <c r="Y331" s="1" t="str">
        <f t="shared" si="22"/>
        <v/>
      </c>
      <c r="Z331" s="1">
        <f t="shared" si="23"/>
        <v>0</v>
      </c>
    </row>
    <row r="332" spans="1:26" x14ac:dyDescent="0.3">
      <c r="A332" s="236"/>
      <c r="B332" s="236"/>
      <c r="C332" s="236">
        <f>YEAR(Table12[[#This Row],[Date]])</f>
        <v>2026</v>
      </c>
      <c r="D332" s="236"/>
      <c r="E332" s="236"/>
      <c r="F332" s="237" t="str">
        <f>TEXT(Table12[[#This Row],[Date]],"mmm-yy")</f>
        <v>Feb-26</v>
      </c>
      <c r="G332" s="236">
        <f t="shared" si="21"/>
        <v>28</v>
      </c>
      <c r="H332" s="120">
        <f t="shared" si="24"/>
        <v>46073</v>
      </c>
      <c r="I332" s="1">
        <v>8.0208999999999993</v>
      </c>
      <c r="J332" s="1">
        <f>'Raw Data'!K332/Inv_SY!J$2</f>
        <v>0</v>
      </c>
      <c r="K332" s="1">
        <f>'Raw Data'!L332/Inv_SY!K$2</f>
        <v>0</v>
      </c>
      <c r="L332" s="1">
        <f>'Raw Data'!M332/Inv_SY!L$2</f>
        <v>0</v>
      </c>
      <c r="M332" s="1">
        <f>'Raw Data'!N332/Inv_SY!M$2</f>
        <v>0</v>
      </c>
      <c r="N332" s="1">
        <f>'Raw Data'!O332/Inv_SY!N$2</f>
        <v>0</v>
      </c>
      <c r="O332" s="1">
        <f>'Raw Data'!P332/Inv_SY!O$2</f>
        <v>0</v>
      </c>
      <c r="P332" s="1">
        <f>'Raw Data'!Q332/Inv_SY!P$2</f>
        <v>0</v>
      </c>
      <c r="Q332" s="1">
        <f>'Raw Data'!R332/Inv_SY!Q$2</f>
        <v>0</v>
      </c>
      <c r="R332" s="1">
        <f>'Raw Data'!S332/Inv_SY!R$2</f>
        <v>0</v>
      </c>
      <c r="S332" s="1">
        <f>'Raw Data'!T332/Inv_SY!S$2</f>
        <v>0</v>
      </c>
      <c r="T332" s="1">
        <f>'Raw Data'!U332/Inv_SY!T$2</f>
        <v>0</v>
      </c>
      <c r="U332" s="1">
        <f>'Raw Data'!V332/Inv_SY!U$2</f>
        <v>0</v>
      </c>
      <c r="V332" s="1">
        <f>'Raw Data'!W332/Inv_SY!V$2</f>
        <v>0</v>
      </c>
      <c r="W332" s="1">
        <f>'Raw Data'!X332/Inv_SY!W$2</f>
        <v>0</v>
      </c>
      <c r="X332" s="1">
        <f>'Raw Data'!Y332/Inv_SY!X$2</f>
        <v>0</v>
      </c>
      <c r="Y332" s="1" t="str">
        <f t="shared" si="22"/>
        <v/>
      </c>
      <c r="Z332" s="1">
        <f t="shared" si="23"/>
        <v>0</v>
      </c>
    </row>
    <row r="333" spans="1:26" x14ac:dyDescent="0.3">
      <c r="A333" s="236"/>
      <c r="B333" s="236"/>
      <c r="C333" s="236">
        <f>YEAR(Table12[[#This Row],[Date]])</f>
        <v>2026</v>
      </c>
      <c r="D333" s="236"/>
      <c r="E333" s="236"/>
      <c r="F333" s="237" t="str">
        <f>TEXT(Table12[[#This Row],[Date]],"mmm-yy")</f>
        <v>Feb-26</v>
      </c>
      <c r="G333" s="236">
        <f t="shared" si="21"/>
        <v>28</v>
      </c>
      <c r="H333" s="120">
        <f t="shared" si="24"/>
        <v>46074</v>
      </c>
      <c r="I333" s="1">
        <v>8.0208999999999993</v>
      </c>
      <c r="J333" s="1">
        <f>'Raw Data'!K333/Inv_SY!J$2</f>
        <v>0</v>
      </c>
      <c r="K333" s="1">
        <f>'Raw Data'!L333/Inv_SY!K$2</f>
        <v>0</v>
      </c>
      <c r="L333" s="1">
        <f>'Raw Data'!M333/Inv_SY!L$2</f>
        <v>0</v>
      </c>
      <c r="M333" s="1">
        <f>'Raw Data'!N333/Inv_SY!M$2</f>
        <v>0</v>
      </c>
      <c r="N333" s="1">
        <f>'Raw Data'!O333/Inv_SY!N$2</f>
        <v>0</v>
      </c>
      <c r="O333" s="1">
        <f>'Raw Data'!P333/Inv_SY!O$2</f>
        <v>0</v>
      </c>
      <c r="P333" s="1">
        <f>'Raw Data'!Q333/Inv_SY!P$2</f>
        <v>0</v>
      </c>
      <c r="Q333" s="1">
        <f>'Raw Data'!R333/Inv_SY!Q$2</f>
        <v>0</v>
      </c>
      <c r="R333" s="1">
        <f>'Raw Data'!S333/Inv_SY!R$2</f>
        <v>0</v>
      </c>
      <c r="S333" s="1">
        <f>'Raw Data'!T333/Inv_SY!S$2</f>
        <v>0</v>
      </c>
      <c r="T333" s="1">
        <f>'Raw Data'!U333/Inv_SY!T$2</f>
        <v>0</v>
      </c>
      <c r="U333" s="1">
        <f>'Raw Data'!V333/Inv_SY!U$2</f>
        <v>0</v>
      </c>
      <c r="V333" s="1">
        <f>'Raw Data'!W333/Inv_SY!V$2</f>
        <v>0</v>
      </c>
      <c r="W333" s="1">
        <f>'Raw Data'!X333/Inv_SY!W$2</f>
        <v>0</v>
      </c>
      <c r="X333" s="1">
        <f>'Raw Data'!Y333/Inv_SY!X$2</f>
        <v>0</v>
      </c>
      <c r="Y333" s="1" t="str">
        <f t="shared" si="22"/>
        <v/>
      </c>
      <c r="Z333" s="1">
        <f t="shared" si="23"/>
        <v>0</v>
      </c>
    </row>
    <row r="334" spans="1:26" x14ac:dyDescent="0.3">
      <c r="A334" s="236"/>
      <c r="B334" s="236"/>
      <c r="C334" s="236">
        <f>YEAR(Table12[[#This Row],[Date]])</f>
        <v>2026</v>
      </c>
      <c r="D334" s="236"/>
      <c r="E334" s="236"/>
      <c r="F334" s="237" t="str">
        <f>TEXT(Table12[[#This Row],[Date]],"mmm-yy")</f>
        <v>Feb-26</v>
      </c>
      <c r="G334" s="236">
        <f t="shared" si="21"/>
        <v>28</v>
      </c>
      <c r="H334" s="120">
        <f t="shared" si="24"/>
        <v>46075</v>
      </c>
      <c r="I334" s="1">
        <v>8.0208999999999993</v>
      </c>
      <c r="J334" s="1">
        <f>'Raw Data'!K334/Inv_SY!J$2</f>
        <v>0</v>
      </c>
      <c r="K334" s="1">
        <f>'Raw Data'!L334/Inv_SY!K$2</f>
        <v>0</v>
      </c>
      <c r="L334" s="1">
        <f>'Raw Data'!M334/Inv_SY!L$2</f>
        <v>0</v>
      </c>
      <c r="M334" s="1">
        <f>'Raw Data'!N334/Inv_SY!M$2</f>
        <v>0</v>
      </c>
      <c r="N334" s="1">
        <f>'Raw Data'!O334/Inv_SY!N$2</f>
        <v>0</v>
      </c>
      <c r="O334" s="1">
        <f>'Raw Data'!P334/Inv_SY!O$2</f>
        <v>0</v>
      </c>
      <c r="P334" s="1">
        <f>'Raw Data'!Q334/Inv_SY!P$2</f>
        <v>0</v>
      </c>
      <c r="Q334" s="1">
        <f>'Raw Data'!R334/Inv_SY!Q$2</f>
        <v>0</v>
      </c>
      <c r="R334" s="1">
        <f>'Raw Data'!S334/Inv_SY!R$2</f>
        <v>0</v>
      </c>
      <c r="S334" s="1">
        <f>'Raw Data'!T334/Inv_SY!S$2</f>
        <v>0</v>
      </c>
      <c r="T334" s="1">
        <f>'Raw Data'!U334/Inv_SY!T$2</f>
        <v>0</v>
      </c>
      <c r="U334" s="1">
        <f>'Raw Data'!V334/Inv_SY!U$2</f>
        <v>0</v>
      </c>
      <c r="V334" s="1">
        <f>'Raw Data'!W334/Inv_SY!V$2</f>
        <v>0</v>
      </c>
      <c r="W334" s="1">
        <f>'Raw Data'!X334/Inv_SY!W$2</f>
        <v>0</v>
      </c>
      <c r="X334" s="1">
        <f>'Raw Data'!Y334/Inv_SY!X$2</f>
        <v>0</v>
      </c>
      <c r="Y334" s="1" t="str">
        <f t="shared" si="22"/>
        <v/>
      </c>
      <c r="Z334" s="1">
        <f t="shared" si="23"/>
        <v>0</v>
      </c>
    </row>
    <row r="335" spans="1:26" x14ac:dyDescent="0.3">
      <c r="A335" s="236"/>
      <c r="B335" s="236"/>
      <c r="C335" s="236">
        <f>YEAR(Table12[[#This Row],[Date]])</f>
        <v>2026</v>
      </c>
      <c r="D335" s="236"/>
      <c r="E335" s="236"/>
      <c r="F335" s="237" t="str">
        <f>TEXT(Table12[[#This Row],[Date]],"mmm-yy")</f>
        <v>Feb-26</v>
      </c>
      <c r="G335" s="236">
        <f t="shared" si="21"/>
        <v>28</v>
      </c>
      <c r="H335" s="120">
        <f t="shared" si="24"/>
        <v>46076</v>
      </c>
      <c r="I335" s="1">
        <v>8.0208999999999993</v>
      </c>
      <c r="J335" s="1">
        <f>'Raw Data'!K335/Inv_SY!J$2</f>
        <v>0</v>
      </c>
      <c r="K335" s="1">
        <f>'Raw Data'!L335/Inv_SY!K$2</f>
        <v>0</v>
      </c>
      <c r="L335" s="1">
        <f>'Raw Data'!M335/Inv_SY!L$2</f>
        <v>0</v>
      </c>
      <c r="M335" s="1">
        <f>'Raw Data'!N335/Inv_SY!M$2</f>
        <v>0</v>
      </c>
      <c r="N335" s="1">
        <f>'Raw Data'!O335/Inv_SY!N$2</f>
        <v>0</v>
      </c>
      <c r="O335" s="1">
        <f>'Raw Data'!P335/Inv_SY!O$2</f>
        <v>0</v>
      </c>
      <c r="P335" s="1">
        <f>'Raw Data'!Q335/Inv_SY!P$2</f>
        <v>0</v>
      </c>
      <c r="Q335" s="1">
        <f>'Raw Data'!R335/Inv_SY!Q$2</f>
        <v>0</v>
      </c>
      <c r="R335" s="1">
        <f>'Raw Data'!S335/Inv_SY!R$2</f>
        <v>0</v>
      </c>
      <c r="S335" s="1">
        <f>'Raw Data'!T335/Inv_SY!S$2</f>
        <v>0</v>
      </c>
      <c r="T335" s="1">
        <f>'Raw Data'!U335/Inv_SY!T$2</f>
        <v>0</v>
      </c>
      <c r="U335" s="1">
        <f>'Raw Data'!V335/Inv_SY!U$2</f>
        <v>0</v>
      </c>
      <c r="V335" s="1">
        <f>'Raw Data'!W335/Inv_SY!V$2</f>
        <v>0</v>
      </c>
      <c r="W335" s="1">
        <f>'Raw Data'!X335/Inv_SY!W$2</f>
        <v>0</v>
      </c>
      <c r="X335" s="1">
        <f>'Raw Data'!Y335/Inv_SY!X$2</f>
        <v>0</v>
      </c>
      <c r="Y335" s="1" t="str">
        <f t="shared" si="22"/>
        <v/>
      </c>
      <c r="Z335" s="1">
        <f t="shared" si="23"/>
        <v>0</v>
      </c>
    </row>
    <row r="336" spans="1:26" x14ac:dyDescent="0.3">
      <c r="A336" s="236"/>
      <c r="B336" s="236"/>
      <c r="C336" s="236">
        <f>YEAR(Table12[[#This Row],[Date]])</f>
        <v>2026</v>
      </c>
      <c r="D336" s="236"/>
      <c r="E336" s="236"/>
      <c r="F336" s="237" t="str">
        <f>TEXT(Table12[[#This Row],[Date]],"mmm-yy")</f>
        <v>Feb-26</v>
      </c>
      <c r="G336" s="236">
        <f t="shared" si="21"/>
        <v>28</v>
      </c>
      <c r="H336" s="120">
        <f t="shared" si="24"/>
        <v>46077</v>
      </c>
      <c r="I336" s="1">
        <v>8.0208999999999993</v>
      </c>
      <c r="J336" s="1">
        <f>'Raw Data'!K336/Inv_SY!J$2</f>
        <v>0</v>
      </c>
      <c r="K336" s="1">
        <f>'Raw Data'!L336/Inv_SY!K$2</f>
        <v>0</v>
      </c>
      <c r="L336" s="1">
        <f>'Raw Data'!M336/Inv_SY!L$2</f>
        <v>0</v>
      </c>
      <c r="M336" s="1">
        <f>'Raw Data'!N336/Inv_SY!M$2</f>
        <v>0</v>
      </c>
      <c r="N336" s="1">
        <f>'Raw Data'!O336/Inv_SY!N$2</f>
        <v>0</v>
      </c>
      <c r="O336" s="1">
        <f>'Raw Data'!P336/Inv_SY!O$2</f>
        <v>0</v>
      </c>
      <c r="P336" s="1">
        <f>'Raw Data'!Q336/Inv_SY!P$2</f>
        <v>0</v>
      </c>
      <c r="Q336" s="1">
        <f>'Raw Data'!R336/Inv_SY!Q$2</f>
        <v>0</v>
      </c>
      <c r="R336" s="1">
        <f>'Raw Data'!S336/Inv_SY!R$2</f>
        <v>0</v>
      </c>
      <c r="S336" s="1">
        <f>'Raw Data'!T336/Inv_SY!S$2</f>
        <v>0</v>
      </c>
      <c r="T336" s="1">
        <f>'Raw Data'!U336/Inv_SY!T$2</f>
        <v>0</v>
      </c>
      <c r="U336" s="1">
        <f>'Raw Data'!V336/Inv_SY!U$2</f>
        <v>0</v>
      </c>
      <c r="V336" s="1">
        <f>'Raw Data'!W336/Inv_SY!V$2</f>
        <v>0</v>
      </c>
      <c r="W336" s="1">
        <f>'Raw Data'!X336/Inv_SY!W$2</f>
        <v>0</v>
      </c>
      <c r="X336" s="1">
        <f>'Raw Data'!Y336/Inv_SY!X$2</f>
        <v>0</v>
      </c>
      <c r="Y336" s="1" t="str">
        <f t="shared" si="22"/>
        <v/>
      </c>
      <c r="Z336" s="1">
        <f t="shared" si="23"/>
        <v>0</v>
      </c>
    </row>
    <row r="337" spans="1:26" x14ac:dyDescent="0.3">
      <c r="A337" s="236"/>
      <c r="B337" s="236"/>
      <c r="C337" s="236">
        <f>YEAR(Table12[[#This Row],[Date]])</f>
        <v>2026</v>
      </c>
      <c r="D337" s="236"/>
      <c r="E337" s="236"/>
      <c r="F337" s="237" t="str">
        <f>TEXT(Table12[[#This Row],[Date]],"mmm-yy")</f>
        <v>Feb-26</v>
      </c>
      <c r="G337" s="236">
        <f t="shared" si="21"/>
        <v>28</v>
      </c>
      <c r="H337" s="120">
        <f t="shared" si="24"/>
        <v>46078</v>
      </c>
      <c r="I337" s="1">
        <v>8.0208999999999993</v>
      </c>
      <c r="J337" s="1">
        <f>'Raw Data'!K337/Inv_SY!J$2</f>
        <v>0</v>
      </c>
      <c r="K337" s="1">
        <f>'Raw Data'!L337/Inv_SY!K$2</f>
        <v>0</v>
      </c>
      <c r="L337" s="1">
        <f>'Raw Data'!M337/Inv_SY!L$2</f>
        <v>0</v>
      </c>
      <c r="M337" s="1">
        <f>'Raw Data'!N337/Inv_SY!M$2</f>
        <v>0</v>
      </c>
      <c r="N337" s="1">
        <f>'Raw Data'!O337/Inv_SY!N$2</f>
        <v>0</v>
      </c>
      <c r="O337" s="1">
        <f>'Raw Data'!P337/Inv_SY!O$2</f>
        <v>0</v>
      </c>
      <c r="P337" s="1">
        <f>'Raw Data'!Q337/Inv_SY!P$2</f>
        <v>0</v>
      </c>
      <c r="Q337" s="1">
        <f>'Raw Data'!R337/Inv_SY!Q$2</f>
        <v>0</v>
      </c>
      <c r="R337" s="1">
        <f>'Raw Data'!S337/Inv_SY!R$2</f>
        <v>0</v>
      </c>
      <c r="S337" s="1">
        <f>'Raw Data'!T337/Inv_SY!S$2</f>
        <v>0</v>
      </c>
      <c r="T337" s="1">
        <f>'Raw Data'!U337/Inv_SY!T$2</f>
        <v>0</v>
      </c>
      <c r="U337" s="1">
        <f>'Raw Data'!V337/Inv_SY!U$2</f>
        <v>0</v>
      </c>
      <c r="V337" s="1">
        <f>'Raw Data'!W337/Inv_SY!V$2</f>
        <v>0</v>
      </c>
      <c r="W337" s="1">
        <f>'Raw Data'!X337/Inv_SY!W$2</f>
        <v>0</v>
      </c>
      <c r="X337" s="1">
        <f>'Raw Data'!Y337/Inv_SY!X$2</f>
        <v>0</v>
      </c>
      <c r="Y337" s="1" t="str">
        <f t="shared" si="22"/>
        <v/>
      </c>
      <c r="Z337" s="1">
        <f t="shared" si="23"/>
        <v>0</v>
      </c>
    </row>
    <row r="338" spans="1:26" x14ac:dyDescent="0.3">
      <c r="A338" s="236"/>
      <c r="B338" s="236"/>
      <c r="C338" s="236">
        <f>YEAR(Table12[[#This Row],[Date]])</f>
        <v>2026</v>
      </c>
      <c r="D338" s="236"/>
      <c r="E338" s="236"/>
      <c r="F338" s="237" t="str">
        <f>TEXT(Table12[[#This Row],[Date]],"mmm-yy")</f>
        <v>Feb-26</v>
      </c>
      <c r="G338" s="236">
        <f t="shared" si="21"/>
        <v>28</v>
      </c>
      <c r="H338" s="120">
        <f t="shared" si="24"/>
        <v>46079</v>
      </c>
      <c r="I338" s="1">
        <v>8.0208999999999993</v>
      </c>
      <c r="J338" s="1">
        <f>'Raw Data'!K338/Inv_SY!J$2</f>
        <v>0</v>
      </c>
      <c r="K338" s="1">
        <f>'Raw Data'!L338/Inv_SY!K$2</f>
        <v>0</v>
      </c>
      <c r="L338" s="1">
        <f>'Raw Data'!M338/Inv_SY!L$2</f>
        <v>0</v>
      </c>
      <c r="M338" s="1">
        <f>'Raw Data'!N338/Inv_SY!M$2</f>
        <v>0</v>
      </c>
      <c r="N338" s="1">
        <f>'Raw Data'!O338/Inv_SY!N$2</f>
        <v>0</v>
      </c>
      <c r="O338" s="1">
        <f>'Raw Data'!P338/Inv_SY!O$2</f>
        <v>0</v>
      </c>
      <c r="P338" s="1">
        <f>'Raw Data'!Q338/Inv_SY!P$2</f>
        <v>0</v>
      </c>
      <c r="Q338" s="1">
        <f>'Raw Data'!R338/Inv_SY!Q$2</f>
        <v>0</v>
      </c>
      <c r="R338" s="1">
        <f>'Raw Data'!S338/Inv_SY!R$2</f>
        <v>0</v>
      </c>
      <c r="S338" s="1">
        <f>'Raw Data'!T338/Inv_SY!S$2</f>
        <v>0</v>
      </c>
      <c r="T338" s="1">
        <f>'Raw Data'!U338/Inv_SY!T$2</f>
        <v>0</v>
      </c>
      <c r="U338" s="1">
        <f>'Raw Data'!V338/Inv_SY!U$2</f>
        <v>0</v>
      </c>
      <c r="V338" s="1">
        <f>'Raw Data'!W338/Inv_SY!V$2</f>
        <v>0</v>
      </c>
      <c r="W338" s="1">
        <f>'Raw Data'!X338/Inv_SY!W$2</f>
        <v>0</v>
      </c>
      <c r="X338" s="1">
        <f>'Raw Data'!Y338/Inv_SY!X$2</f>
        <v>0</v>
      </c>
      <c r="Y338" s="1" t="str">
        <f t="shared" si="22"/>
        <v/>
      </c>
      <c r="Z338" s="1">
        <f t="shared" si="23"/>
        <v>0</v>
      </c>
    </row>
    <row r="339" spans="1:26" x14ac:dyDescent="0.3">
      <c r="A339" s="236"/>
      <c r="B339" s="236"/>
      <c r="C339" s="236">
        <f>YEAR(Table12[[#This Row],[Date]])</f>
        <v>2026</v>
      </c>
      <c r="D339" s="236"/>
      <c r="E339" s="236"/>
      <c r="F339" s="237" t="str">
        <f>TEXT(Table12[[#This Row],[Date]],"mmm-yy")</f>
        <v>Feb-26</v>
      </c>
      <c r="G339" s="236">
        <f t="shared" si="21"/>
        <v>28</v>
      </c>
      <c r="H339" s="120">
        <f t="shared" si="24"/>
        <v>46080</v>
      </c>
      <c r="I339" s="1">
        <v>8.0208999999999993</v>
      </c>
      <c r="J339" s="1">
        <f>'Raw Data'!K339/Inv_SY!J$2</f>
        <v>0</v>
      </c>
      <c r="K339" s="1">
        <f>'Raw Data'!L339/Inv_SY!K$2</f>
        <v>0</v>
      </c>
      <c r="L339" s="1">
        <f>'Raw Data'!M339/Inv_SY!L$2</f>
        <v>0</v>
      </c>
      <c r="M339" s="1">
        <f>'Raw Data'!N339/Inv_SY!M$2</f>
        <v>0</v>
      </c>
      <c r="N339" s="1">
        <f>'Raw Data'!O339/Inv_SY!N$2</f>
        <v>0</v>
      </c>
      <c r="O339" s="1">
        <f>'Raw Data'!P339/Inv_SY!O$2</f>
        <v>0</v>
      </c>
      <c r="P339" s="1">
        <f>'Raw Data'!Q339/Inv_SY!P$2</f>
        <v>0</v>
      </c>
      <c r="Q339" s="1">
        <f>'Raw Data'!R339/Inv_SY!Q$2</f>
        <v>0</v>
      </c>
      <c r="R339" s="1">
        <f>'Raw Data'!S339/Inv_SY!R$2</f>
        <v>0</v>
      </c>
      <c r="S339" s="1">
        <f>'Raw Data'!T339/Inv_SY!S$2</f>
        <v>0</v>
      </c>
      <c r="T339" s="1">
        <f>'Raw Data'!U339/Inv_SY!T$2</f>
        <v>0</v>
      </c>
      <c r="U339" s="1">
        <f>'Raw Data'!V339/Inv_SY!U$2</f>
        <v>0</v>
      </c>
      <c r="V339" s="1">
        <f>'Raw Data'!W339/Inv_SY!V$2</f>
        <v>0</v>
      </c>
      <c r="W339" s="1">
        <f>'Raw Data'!X339/Inv_SY!W$2</f>
        <v>0</v>
      </c>
      <c r="X339" s="1">
        <f>'Raw Data'!Y339/Inv_SY!X$2</f>
        <v>0</v>
      </c>
      <c r="Y339" s="1" t="str">
        <f t="shared" si="22"/>
        <v/>
      </c>
      <c r="Z339" s="1">
        <f t="shared" si="23"/>
        <v>0</v>
      </c>
    </row>
    <row r="340" spans="1:26" x14ac:dyDescent="0.3">
      <c r="A340" s="236"/>
      <c r="B340" s="236"/>
      <c r="C340" s="236">
        <f>YEAR(Table12[[#This Row],[Date]])</f>
        <v>2026</v>
      </c>
      <c r="D340" s="236"/>
      <c r="E340" s="236"/>
      <c r="F340" s="237" t="str">
        <f>TEXT(Table12[[#This Row],[Date]],"mmm-yy")</f>
        <v>Feb-26</v>
      </c>
      <c r="G340" s="236">
        <f t="shared" si="21"/>
        <v>28</v>
      </c>
      <c r="H340" s="120">
        <f t="shared" si="24"/>
        <v>46081</v>
      </c>
      <c r="I340" s="1">
        <v>8.0208999999999993</v>
      </c>
      <c r="J340" s="1">
        <f>'Raw Data'!K340/Inv_SY!J$2</f>
        <v>0</v>
      </c>
      <c r="K340" s="1">
        <f>'Raw Data'!L340/Inv_SY!K$2</f>
        <v>0</v>
      </c>
      <c r="L340" s="1">
        <f>'Raw Data'!M340/Inv_SY!L$2</f>
        <v>0</v>
      </c>
      <c r="M340" s="1">
        <f>'Raw Data'!N340/Inv_SY!M$2</f>
        <v>0</v>
      </c>
      <c r="N340" s="1">
        <f>'Raw Data'!O340/Inv_SY!N$2</f>
        <v>0</v>
      </c>
      <c r="O340" s="1">
        <f>'Raw Data'!P340/Inv_SY!O$2</f>
        <v>0</v>
      </c>
      <c r="P340" s="1">
        <f>'Raw Data'!Q340/Inv_SY!P$2</f>
        <v>0</v>
      </c>
      <c r="Q340" s="1">
        <f>'Raw Data'!R340/Inv_SY!Q$2</f>
        <v>0</v>
      </c>
      <c r="R340" s="1">
        <f>'Raw Data'!S340/Inv_SY!R$2</f>
        <v>0</v>
      </c>
      <c r="S340" s="1">
        <f>'Raw Data'!T340/Inv_SY!S$2</f>
        <v>0</v>
      </c>
      <c r="T340" s="1">
        <f>'Raw Data'!U340/Inv_SY!T$2</f>
        <v>0</v>
      </c>
      <c r="U340" s="1">
        <f>'Raw Data'!V340/Inv_SY!U$2</f>
        <v>0</v>
      </c>
      <c r="V340" s="1">
        <f>'Raw Data'!W340/Inv_SY!V$2</f>
        <v>0</v>
      </c>
      <c r="W340" s="1">
        <f>'Raw Data'!X340/Inv_SY!W$2</f>
        <v>0</v>
      </c>
      <c r="X340" s="1">
        <f>'Raw Data'!Y340/Inv_SY!X$2</f>
        <v>0</v>
      </c>
      <c r="Y340" s="1" t="str">
        <f t="shared" si="22"/>
        <v/>
      </c>
      <c r="Z340" s="1">
        <f t="shared" si="23"/>
        <v>0</v>
      </c>
    </row>
    <row r="341" spans="1:26" x14ac:dyDescent="0.3">
      <c r="A341" s="236"/>
      <c r="B341" s="236"/>
      <c r="C341" s="236">
        <f>YEAR(Table12[[#This Row],[Date]])</f>
        <v>2026</v>
      </c>
      <c r="D341" s="236"/>
      <c r="E341" s="236"/>
      <c r="F341" s="237" t="str">
        <f>TEXT(Table12[[#This Row],[Date]],"mmm-yy")</f>
        <v>Mar-26</v>
      </c>
      <c r="G341" s="236">
        <f t="shared" si="21"/>
        <v>31</v>
      </c>
      <c r="H341" s="120">
        <f t="shared" si="24"/>
        <v>46082</v>
      </c>
      <c r="I341" s="1">
        <v>8.0208999999999993</v>
      </c>
      <c r="J341" s="1">
        <f>'Raw Data'!K341/Inv_SY!J$2</f>
        <v>0</v>
      </c>
      <c r="K341" s="1">
        <f>'Raw Data'!L341/Inv_SY!K$2</f>
        <v>0</v>
      </c>
      <c r="L341" s="1">
        <f>'Raw Data'!M341/Inv_SY!L$2</f>
        <v>0</v>
      </c>
      <c r="M341" s="1">
        <f>'Raw Data'!N341/Inv_SY!M$2</f>
        <v>0</v>
      </c>
      <c r="N341" s="1">
        <f>'Raw Data'!O341/Inv_SY!N$2</f>
        <v>0</v>
      </c>
      <c r="O341" s="1">
        <f>'Raw Data'!P341/Inv_SY!O$2</f>
        <v>0</v>
      </c>
      <c r="P341" s="1">
        <f>'Raw Data'!Q341/Inv_SY!P$2</f>
        <v>0</v>
      </c>
      <c r="Q341" s="1">
        <f>'Raw Data'!R341/Inv_SY!Q$2</f>
        <v>0</v>
      </c>
      <c r="R341" s="1">
        <f>'Raw Data'!S341/Inv_SY!R$2</f>
        <v>0</v>
      </c>
      <c r="S341" s="1">
        <f>'Raw Data'!T341/Inv_SY!S$2</f>
        <v>0</v>
      </c>
      <c r="T341" s="1">
        <f>'Raw Data'!U341/Inv_SY!T$2</f>
        <v>0</v>
      </c>
      <c r="U341" s="1">
        <f>'Raw Data'!V341/Inv_SY!U$2</f>
        <v>0</v>
      </c>
      <c r="V341" s="1">
        <f>'Raw Data'!W341/Inv_SY!V$2</f>
        <v>0</v>
      </c>
      <c r="W341" s="1">
        <f>'Raw Data'!X341/Inv_SY!W$2</f>
        <v>0</v>
      </c>
      <c r="X341" s="1">
        <f>'Raw Data'!Y341/Inv_SY!X$2</f>
        <v>0</v>
      </c>
      <c r="Y341" s="1" t="str">
        <f t="shared" si="22"/>
        <v/>
      </c>
      <c r="Z341" s="1">
        <f t="shared" si="23"/>
        <v>0</v>
      </c>
    </row>
    <row r="342" spans="1:26" x14ac:dyDescent="0.3">
      <c r="A342" s="236"/>
      <c r="B342" s="236"/>
      <c r="C342" s="236">
        <f>YEAR(Table12[[#This Row],[Date]])</f>
        <v>2026</v>
      </c>
      <c r="D342" s="236"/>
      <c r="E342" s="236"/>
      <c r="F342" s="237" t="str">
        <f>TEXT(Table12[[#This Row],[Date]],"mmm-yy")</f>
        <v>Mar-26</v>
      </c>
      <c r="G342" s="236">
        <f t="shared" si="21"/>
        <v>31</v>
      </c>
      <c r="H342" s="120">
        <f t="shared" si="24"/>
        <v>46083</v>
      </c>
      <c r="I342" s="1">
        <v>8.0208999999999993</v>
      </c>
      <c r="J342" s="1">
        <f>'Raw Data'!K342/Inv_SY!J$2</f>
        <v>0</v>
      </c>
      <c r="K342" s="1">
        <f>'Raw Data'!L342/Inv_SY!K$2</f>
        <v>0</v>
      </c>
      <c r="L342" s="1">
        <f>'Raw Data'!M342/Inv_SY!L$2</f>
        <v>0</v>
      </c>
      <c r="M342" s="1">
        <f>'Raw Data'!N342/Inv_SY!M$2</f>
        <v>0</v>
      </c>
      <c r="N342" s="1">
        <f>'Raw Data'!O342/Inv_SY!N$2</f>
        <v>0</v>
      </c>
      <c r="O342" s="1">
        <f>'Raw Data'!P342/Inv_SY!O$2</f>
        <v>0</v>
      </c>
      <c r="P342" s="1">
        <f>'Raw Data'!Q342/Inv_SY!P$2</f>
        <v>0</v>
      </c>
      <c r="Q342" s="1">
        <f>'Raw Data'!R342/Inv_SY!Q$2</f>
        <v>0</v>
      </c>
      <c r="R342" s="1">
        <f>'Raw Data'!S342/Inv_SY!R$2</f>
        <v>0</v>
      </c>
      <c r="S342" s="1">
        <f>'Raw Data'!T342/Inv_SY!S$2</f>
        <v>0</v>
      </c>
      <c r="T342" s="1">
        <f>'Raw Data'!U342/Inv_SY!T$2</f>
        <v>0</v>
      </c>
      <c r="U342" s="1">
        <f>'Raw Data'!V342/Inv_SY!U$2</f>
        <v>0</v>
      </c>
      <c r="V342" s="1">
        <f>'Raw Data'!W342/Inv_SY!V$2</f>
        <v>0</v>
      </c>
      <c r="W342" s="1">
        <f>'Raw Data'!X342/Inv_SY!W$2</f>
        <v>0</v>
      </c>
      <c r="X342" s="1">
        <f>'Raw Data'!Y342/Inv_SY!X$2</f>
        <v>0</v>
      </c>
      <c r="Y342" s="1" t="str">
        <f t="shared" si="22"/>
        <v/>
      </c>
      <c r="Z342" s="1">
        <f t="shared" si="23"/>
        <v>0</v>
      </c>
    </row>
    <row r="343" spans="1:26" x14ac:dyDescent="0.3">
      <c r="A343" s="236"/>
      <c r="B343" s="236"/>
      <c r="C343" s="236">
        <f>YEAR(Table12[[#This Row],[Date]])</f>
        <v>2026</v>
      </c>
      <c r="D343" s="236"/>
      <c r="E343" s="236"/>
      <c r="F343" s="237" t="str">
        <f>TEXT(Table12[[#This Row],[Date]],"mmm-yy")</f>
        <v>Mar-26</v>
      </c>
      <c r="G343" s="236">
        <f t="shared" si="21"/>
        <v>31</v>
      </c>
      <c r="H343" s="120">
        <f t="shared" si="24"/>
        <v>46084</v>
      </c>
      <c r="I343" s="1">
        <v>8.0208999999999993</v>
      </c>
      <c r="J343" s="1">
        <f>'Raw Data'!K343/Inv_SY!J$2</f>
        <v>0</v>
      </c>
      <c r="K343" s="1">
        <f>'Raw Data'!L343/Inv_SY!K$2</f>
        <v>0</v>
      </c>
      <c r="L343" s="1">
        <f>'Raw Data'!M343/Inv_SY!L$2</f>
        <v>0</v>
      </c>
      <c r="M343" s="1">
        <f>'Raw Data'!N343/Inv_SY!M$2</f>
        <v>0</v>
      </c>
      <c r="N343" s="1">
        <f>'Raw Data'!O343/Inv_SY!N$2</f>
        <v>0</v>
      </c>
      <c r="O343" s="1">
        <f>'Raw Data'!P343/Inv_SY!O$2</f>
        <v>0</v>
      </c>
      <c r="P343" s="1">
        <f>'Raw Data'!Q343/Inv_SY!P$2</f>
        <v>0</v>
      </c>
      <c r="Q343" s="1">
        <f>'Raw Data'!R343/Inv_SY!Q$2</f>
        <v>0</v>
      </c>
      <c r="R343" s="1">
        <f>'Raw Data'!S343/Inv_SY!R$2</f>
        <v>0</v>
      </c>
      <c r="S343" s="1">
        <f>'Raw Data'!T343/Inv_SY!S$2</f>
        <v>0</v>
      </c>
      <c r="T343" s="1">
        <f>'Raw Data'!U343/Inv_SY!T$2</f>
        <v>0</v>
      </c>
      <c r="U343" s="1">
        <f>'Raw Data'!V343/Inv_SY!U$2</f>
        <v>0</v>
      </c>
      <c r="V343" s="1">
        <f>'Raw Data'!W343/Inv_SY!V$2</f>
        <v>0</v>
      </c>
      <c r="W343" s="1">
        <f>'Raw Data'!X343/Inv_SY!W$2</f>
        <v>0</v>
      </c>
      <c r="X343" s="1">
        <f>'Raw Data'!Y343/Inv_SY!X$2</f>
        <v>0</v>
      </c>
      <c r="Y343" s="1" t="str">
        <f t="shared" si="22"/>
        <v/>
      </c>
      <c r="Z343" s="1">
        <f t="shared" si="23"/>
        <v>0</v>
      </c>
    </row>
    <row r="344" spans="1:26" x14ac:dyDescent="0.3">
      <c r="A344" s="236"/>
      <c r="B344" s="236"/>
      <c r="C344" s="236">
        <f>YEAR(Table12[[#This Row],[Date]])</f>
        <v>2026</v>
      </c>
      <c r="D344" s="236"/>
      <c r="E344" s="236"/>
      <c r="F344" s="237" t="str">
        <f>TEXT(Table12[[#This Row],[Date]],"mmm-yy")</f>
        <v>Mar-26</v>
      </c>
      <c r="G344" s="236">
        <f t="shared" si="21"/>
        <v>31</v>
      </c>
      <c r="H344" s="120">
        <f t="shared" si="24"/>
        <v>46085</v>
      </c>
      <c r="I344" s="1">
        <v>8.0208999999999993</v>
      </c>
      <c r="J344" s="1">
        <f>'Raw Data'!K344/Inv_SY!J$2</f>
        <v>0</v>
      </c>
      <c r="K344" s="1">
        <f>'Raw Data'!L344/Inv_SY!K$2</f>
        <v>0</v>
      </c>
      <c r="L344" s="1">
        <f>'Raw Data'!M344/Inv_SY!L$2</f>
        <v>0</v>
      </c>
      <c r="M344" s="1">
        <f>'Raw Data'!N344/Inv_SY!M$2</f>
        <v>0</v>
      </c>
      <c r="N344" s="1">
        <f>'Raw Data'!O344/Inv_SY!N$2</f>
        <v>0</v>
      </c>
      <c r="O344" s="1">
        <f>'Raw Data'!P344/Inv_SY!O$2</f>
        <v>0</v>
      </c>
      <c r="P344" s="1">
        <f>'Raw Data'!Q344/Inv_SY!P$2</f>
        <v>0</v>
      </c>
      <c r="Q344" s="1">
        <f>'Raw Data'!R344/Inv_SY!Q$2</f>
        <v>0</v>
      </c>
      <c r="R344" s="1">
        <f>'Raw Data'!S344/Inv_SY!R$2</f>
        <v>0</v>
      </c>
      <c r="S344" s="1">
        <f>'Raw Data'!T344/Inv_SY!S$2</f>
        <v>0</v>
      </c>
      <c r="T344" s="1">
        <f>'Raw Data'!U344/Inv_SY!T$2</f>
        <v>0</v>
      </c>
      <c r="U344" s="1">
        <f>'Raw Data'!V344/Inv_SY!U$2</f>
        <v>0</v>
      </c>
      <c r="V344" s="1">
        <f>'Raw Data'!W344/Inv_SY!V$2</f>
        <v>0</v>
      </c>
      <c r="W344" s="1">
        <f>'Raw Data'!X344/Inv_SY!W$2</f>
        <v>0</v>
      </c>
      <c r="X344" s="1">
        <f>'Raw Data'!Y344/Inv_SY!X$2</f>
        <v>0</v>
      </c>
      <c r="Y344" s="1" t="str">
        <f t="shared" si="22"/>
        <v/>
      </c>
      <c r="Z344" s="1">
        <f t="shared" si="23"/>
        <v>0</v>
      </c>
    </row>
    <row r="345" spans="1:26" x14ac:dyDescent="0.3">
      <c r="A345" s="236"/>
      <c r="B345" s="236"/>
      <c r="C345" s="236">
        <f>YEAR(Table12[[#This Row],[Date]])</f>
        <v>2026</v>
      </c>
      <c r="D345" s="236"/>
      <c r="E345" s="236"/>
      <c r="F345" s="237" t="str">
        <f>TEXT(Table12[[#This Row],[Date]],"mmm-yy")</f>
        <v>Mar-26</v>
      </c>
      <c r="G345" s="236">
        <f t="shared" si="21"/>
        <v>31</v>
      </c>
      <c r="H345" s="120">
        <f t="shared" si="24"/>
        <v>46086</v>
      </c>
      <c r="I345" s="1">
        <v>8.0208999999999993</v>
      </c>
      <c r="J345" s="1">
        <f>'Raw Data'!K345/Inv_SY!J$2</f>
        <v>0</v>
      </c>
      <c r="K345" s="1">
        <f>'Raw Data'!L345/Inv_SY!K$2</f>
        <v>0</v>
      </c>
      <c r="L345" s="1">
        <f>'Raw Data'!M345/Inv_SY!L$2</f>
        <v>0</v>
      </c>
      <c r="M345" s="1">
        <f>'Raw Data'!N345/Inv_SY!M$2</f>
        <v>0</v>
      </c>
      <c r="N345" s="1">
        <f>'Raw Data'!O345/Inv_SY!N$2</f>
        <v>0</v>
      </c>
      <c r="O345" s="1">
        <f>'Raw Data'!P345/Inv_SY!O$2</f>
        <v>0</v>
      </c>
      <c r="P345" s="1">
        <f>'Raw Data'!Q345/Inv_SY!P$2</f>
        <v>0</v>
      </c>
      <c r="Q345" s="1">
        <f>'Raw Data'!R345/Inv_SY!Q$2</f>
        <v>0</v>
      </c>
      <c r="R345" s="1">
        <f>'Raw Data'!S345/Inv_SY!R$2</f>
        <v>0</v>
      </c>
      <c r="S345" s="1">
        <f>'Raw Data'!T345/Inv_SY!S$2</f>
        <v>0</v>
      </c>
      <c r="T345" s="1">
        <f>'Raw Data'!U345/Inv_SY!T$2</f>
        <v>0</v>
      </c>
      <c r="U345" s="1">
        <f>'Raw Data'!V345/Inv_SY!U$2</f>
        <v>0</v>
      </c>
      <c r="V345" s="1">
        <f>'Raw Data'!W345/Inv_SY!V$2</f>
        <v>0</v>
      </c>
      <c r="W345" s="1">
        <f>'Raw Data'!X345/Inv_SY!W$2</f>
        <v>0</v>
      </c>
      <c r="X345" s="1">
        <f>'Raw Data'!Y345/Inv_SY!X$2</f>
        <v>0</v>
      </c>
      <c r="Y345" s="1" t="str">
        <f t="shared" si="22"/>
        <v/>
      </c>
      <c r="Z345" s="1">
        <f t="shared" si="23"/>
        <v>0</v>
      </c>
    </row>
    <row r="346" spans="1:26" x14ac:dyDescent="0.3">
      <c r="A346" s="236"/>
      <c r="B346" s="236"/>
      <c r="C346" s="236">
        <f>YEAR(Table12[[#This Row],[Date]])</f>
        <v>2026</v>
      </c>
      <c r="D346" s="236"/>
      <c r="E346" s="236"/>
      <c r="F346" s="237" t="str">
        <f>TEXT(Table12[[#This Row],[Date]],"mmm-yy")</f>
        <v>Mar-26</v>
      </c>
      <c r="G346" s="236">
        <f t="shared" si="21"/>
        <v>31</v>
      </c>
      <c r="H346" s="120">
        <f t="shared" si="24"/>
        <v>46087</v>
      </c>
      <c r="I346" s="1">
        <v>8.0208999999999993</v>
      </c>
      <c r="J346" s="1">
        <f>'Raw Data'!K346/Inv_SY!J$2</f>
        <v>0</v>
      </c>
      <c r="K346" s="1">
        <f>'Raw Data'!L346/Inv_SY!K$2</f>
        <v>0</v>
      </c>
      <c r="L346" s="1">
        <f>'Raw Data'!M346/Inv_SY!L$2</f>
        <v>0</v>
      </c>
      <c r="M346" s="1">
        <f>'Raw Data'!N346/Inv_SY!M$2</f>
        <v>0</v>
      </c>
      <c r="N346" s="1">
        <f>'Raw Data'!O346/Inv_SY!N$2</f>
        <v>0</v>
      </c>
      <c r="O346" s="1">
        <f>'Raw Data'!P346/Inv_SY!O$2</f>
        <v>0</v>
      </c>
      <c r="P346" s="1">
        <f>'Raw Data'!Q346/Inv_SY!P$2</f>
        <v>0</v>
      </c>
      <c r="Q346" s="1">
        <f>'Raw Data'!R346/Inv_SY!Q$2</f>
        <v>0</v>
      </c>
      <c r="R346" s="1">
        <f>'Raw Data'!S346/Inv_SY!R$2</f>
        <v>0</v>
      </c>
      <c r="S346" s="1">
        <f>'Raw Data'!T346/Inv_SY!S$2</f>
        <v>0</v>
      </c>
      <c r="T346" s="1">
        <f>'Raw Data'!U346/Inv_SY!T$2</f>
        <v>0</v>
      </c>
      <c r="U346" s="1">
        <f>'Raw Data'!V346/Inv_SY!U$2</f>
        <v>0</v>
      </c>
      <c r="V346" s="1">
        <f>'Raw Data'!W346/Inv_SY!V$2</f>
        <v>0</v>
      </c>
      <c r="W346" s="1">
        <f>'Raw Data'!X346/Inv_SY!W$2</f>
        <v>0</v>
      </c>
      <c r="X346" s="1">
        <f>'Raw Data'!Y346/Inv_SY!X$2</f>
        <v>0</v>
      </c>
      <c r="Y346" s="1" t="str">
        <f t="shared" si="22"/>
        <v/>
      </c>
      <c r="Z346" s="1">
        <f t="shared" si="23"/>
        <v>0</v>
      </c>
    </row>
    <row r="347" spans="1:26" x14ac:dyDescent="0.3">
      <c r="A347" s="236"/>
      <c r="B347" s="236"/>
      <c r="C347" s="236">
        <f>YEAR(Table12[[#This Row],[Date]])</f>
        <v>2026</v>
      </c>
      <c r="D347" s="236"/>
      <c r="E347" s="236"/>
      <c r="F347" s="237" t="str">
        <f>TEXT(Table12[[#This Row],[Date]],"mmm-yy")</f>
        <v>Mar-26</v>
      </c>
      <c r="G347" s="236">
        <f t="shared" si="21"/>
        <v>31</v>
      </c>
      <c r="H347" s="120">
        <f t="shared" si="24"/>
        <v>46088</v>
      </c>
      <c r="I347" s="1">
        <v>8.0208999999999993</v>
      </c>
      <c r="J347" s="1">
        <f>'Raw Data'!K347/Inv_SY!J$2</f>
        <v>0</v>
      </c>
      <c r="K347" s="1">
        <f>'Raw Data'!L347/Inv_SY!K$2</f>
        <v>0</v>
      </c>
      <c r="L347" s="1">
        <f>'Raw Data'!M347/Inv_SY!L$2</f>
        <v>0</v>
      </c>
      <c r="M347" s="1">
        <f>'Raw Data'!N347/Inv_SY!M$2</f>
        <v>0</v>
      </c>
      <c r="N347" s="1">
        <f>'Raw Data'!O347/Inv_SY!N$2</f>
        <v>0</v>
      </c>
      <c r="O347" s="1">
        <f>'Raw Data'!P347/Inv_SY!O$2</f>
        <v>0</v>
      </c>
      <c r="P347" s="1">
        <f>'Raw Data'!Q347/Inv_SY!P$2</f>
        <v>0</v>
      </c>
      <c r="Q347" s="1">
        <f>'Raw Data'!R347/Inv_SY!Q$2</f>
        <v>0</v>
      </c>
      <c r="R347" s="1">
        <f>'Raw Data'!S347/Inv_SY!R$2</f>
        <v>0</v>
      </c>
      <c r="S347" s="1">
        <f>'Raw Data'!T347/Inv_SY!S$2</f>
        <v>0</v>
      </c>
      <c r="T347" s="1">
        <f>'Raw Data'!U347/Inv_SY!T$2</f>
        <v>0</v>
      </c>
      <c r="U347" s="1">
        <f>'Raw Data'!V347/Inv_SY!U$2</f>
        <v>0</v>
      </c>
      <c r="V347" s="1">
        <f>'Raw Data'!W347/Inv_SY!V$2</f>
        <v>0</v>
      </c>
      <c r="W347" s="1">
        <f>'Raw Data'!X347/Inv_SY!W$2</f>
        <v>0</v>
      </c>
      <c r="X347" s="1">
        <f>'Raw Data'!Y347/Inv_SY!X$2</f>
        <v>0</v>
      </c>
      <c r="Y347" s="1" t="str">
        <f t="shared" si="22"/>
        <v/>
      </c>
      <c r="Z347" s="1">
        <f t="shared" si="23"/>
        <v>0</v>
      </c>
    </row>
    <row r="348" spans="1:26" x14ac:dyDescent="0.3">
      <c r="A348" s="236"/>
      <c r="B348" s="236"/>
      <c r="C348" s="236">
        <f>YEAR(Table12[[#This Row],[Date]])</f>
        <v>2026</v>
      </c>
      <c r="D348" s="236"/>
      <c r="E348" s="236"/>
      <c r="F348" s="237" t="str">
        <f>TEXT(Table12[[#This Row],[Date]],"mmm-yy")</f>
        <v>Mar-26</v>
      </c>
      <c r="G348" s="236">
        <f t="shared" si="21"/>
        <v>31</v>
      </c>
      <c r="H348" s="120">
        <f t="shared" si="24"/>
        <v>46089</v>
      </c>
      <c r="I348" s="1">
        <v>8.0208999999999993</v>
      </c>
      <c r="J348" s="1">
        <f>'Raw Data'!K348/Inv_SY!J$2</f>
        <v>0</v>
      </c>
      <c r="K348" s="1">
        <f>'Raw Data'!L348/Inv_SY!K$2</f>
        <v>0</v>
      </c>
      <c r="L348" s="1">
        <f>'Raw Data'!M348/Inv_SY!L$2</f>
        <v>0</v>
      </c>
      <c r="M348" s="1">
        <f>'Raw Data'!N348/Inv_SY!M$2</f>
        <v>0</v>
      </c>
      <c r="N348" s="1">
        <f>'Raw Data'!O348/Inv_SY!N$2</f>
        <v>0</v>
      </c>
      <c r="O348" s="1">
        <f>'Raw Data'!P348/Inv_SY!O$2</f>
        <v>0</v>
      </c>
      <c r="P348" s="1">
        <f>'Raw Data'!Q348/Inv_SY!P$2</f>
        <v>0</v>
      </c>
      <c r="Q348" s="1">
        <f>'Raw Data'!R348/Inv_SY!Q$2</f>
        <v>0</v>
      </c>
      <c r="R348" s="1">
        <f>'Raw Data'!S348/Inv_SY!R$2</f>
        <v>0</v>
      </c>
      <c r="S348" s="1">
        <f>'Raw Data'!T348/Inv_SY!S$2</f>
        <v>0</v>
      </c>
      <c r="T348" s="1">
        <f>'Raw Data'!U348/Inv_SY!T$2</f>
        <v>0</v>
      </c>
      <c r="U348" s="1">
        <f>'Raw Data'!V348/Inv_SY!U$2</f>
        <v>0</v>
      </c>
      <c r="V348" s="1">
        <f>'Raw Data'!W348/Inv_SY!V$2</f>
        <v>0</v>
      </c>
      <c r="W348" s="1">
        <f>'Raw Data'!X348/Inv_SY!W$2</f>
        <v>0</v>
      </c>
      <c r="X348" s="1">
        <f>'Raw Data'!Y348/Inv_SY!X$2</f>
        <v>0</v>
      </c>
      <c r="Y348" s="1" t="str">
        <f t="shared" si="22"/>
        <v/>
      </c>
      <c r="Z348" s="1">
        <f t="shared" si="23"/>
        <v>0</v>
      </c>
    </row>
    <row r="349" spans="1:26" x14ac:dyDescent="0.3">
      <c r="A349" s="236"/>
      <c r="B349" s="236"/>
      <c r="C349" s="236">
        <f>YEAR(Table12[[#This Row],[Date]])</f>
        <v>2026</v>
      </c>
      <c r="D349" s="236"/>
      <c r="E349" s="236"/>
      <c r="F349" s="237" t="str">
        <f>TEXT(Table12[[#This Row],[Date]],"mmm-yy")</f>
        <v>Mar-26</v>
      </c>
      <c r="G349" s="236">
        <f t="shared" si="21"/>
        <v>31</v>
      </c>
      <c r="H349" s="120">
        <f t="shared" si="24"/>
        <v>46090</v>
      </c>
      <c r="I349" s="1">
        <v>8.0208999999999993</v>
      </c>
      <c r="J349" s="1">
        <f>'Raw Data'!K349/Inv_SY!J$2</f>
        <v>0</v>
      </c>
      <c r="K349" s="1">
        <f>'Raw Data'!L349/Inv_SY!K$2</f>
        <v>0</v>
      </c>
      <c r="L349" s="1">
        <f>'Raw Data'!M349/Inv_SY!L$2</f>
        <v>0</v>
      </c>
      <c r="M349" s="1">
        <f>'Raw Data'!N349/Inv_SY!M$2</f>
        <v>0</v>
      </c>
      <c r="N349" s="1">
        <f>'Raw Data'!O349/Inv_SY!N$2</f>
        <v>0</v>
      </c>
      <c r="O349" s="1">
        <f>'Raw Data'!P349/Inv_SY!O$2</f>
        <v>0</v>
      </c>
      <c r="P349" s="1">
        <f>'Raw Data'!Q349/Inv_SY!P$2</f>
        <v>0</v>
      </c>
      <c r="Q349" s="1">
        <f>'Raw Data'!R349/Inv_SY!Q$2</f>
        <v>0</v>
      </c>
      <c r="R349" s="1">
        <f>'Raw Data'!S349/Inv_SY!R$2</f>
        <v>0</v>
      </c>
      <c r="S349" s="1">
        <f>'Raw Data'!T349/Inv_SY!S$2</f>
        <v>0</v>
      </c>
      <c r="T349" s="1">
        <f>'Raw Data'!U349/Inv_SY!T$2</f>
        <v>0</v>
      </c>
      <c r="U349" s="1">
        <f>'Raw Data'!V349/Inv_SY!U$2</f>
        <v>0</v>
      </c>
      <c r="V349" s="1">
        <f>'Raw Data'!W349/Inv_SY!V$2</f>
        <v>0</v>
      </c>
      <c r="W349" s="1">
        <f>'Raw Data'!X349/Inv_SY!W$2</f>
        <v>0</v>
      </c>
      <c r="X349" s="1">
        <f>'Raw Data'!Y349/Inv_SY!X$2</f>
        <v>0</v>
      </c>
      <c r="Y349" s="1" t="str">
        <f t="shared" si="22"/>
        <v/>
      </c>
      <c r="Z349" s="1">
        <f t="shared" si="23"/>
        <v>0</v>
      </c>
    </row>
    <row r="350" spans="1:26" x14ac:dyDescent="0.3">
      <c r="A350" s="236"/>
      <c r="B350" s="236"/>
      <c r="C350" s="236">
        <f>YEAR(Table12[[#This Row],[Date]])</f>
        <v>2026</v>
      </c>
      <c r="D350" s="236"/>
      <c r="E350" s="236"/>
      <c r="F350" s="237" t="str">
        <f>TEXT(Table12[[#This Row],[Date]],"mmm-yy")</f>
        <v>Mar-26</v>
      </c>
      <c r="G350" s="236">
        <f t="shared" si="21"/>
        <v>31</v>
      </c>
      <c r="H350" s="120">
        <f t="shared" si="24"/>
        <v>46091</v>
      </c>
      <c r="I350" s="1">
        <v>8.0208999999999993</v>
      </c>
      <c r="J350" s="1">
        <f>'Raw Data'!K350/Inv_SY!J$2</f>
        <v>0</v>
      </c>
      <c r="K350" s="1">
        <f>'Raw Data'!L350/Inv_SY!K$2</f>
        <v>0</v>
      </c>
      <c r="L350" s="1">
        <f>'Raw Data'!M350/Inv_SY!L$2</f>
        <v>0</v>
      </c>
      <c r="M350" s="1">
        <f>'Raw Data'!N350/Inv_SY!M$2</f>
        <v>0</v>
      </c>
      <c r="N350" s="1">
        <f>'Raw Data'!O350/Inv_SY!N$2</f>
        <v>0</v>
      </c>
      <c r="O350" s="1">
        <f>'Raw Data'!P350/Inv_SY!O$2</f>
        <v>0</v>
      </c>
      <c r="P350" s="1">
        <f>'Raw Data'!Q350/Inv_SY!P$2</f>
        <v>0</v>
      </c>
      <c r="Q350" s="1">
        <f>'Raw Data'!R350/Inv_SY!Q$2</f>
        <v>0</v>
      </c>
      <c r="R350" s="1">
        <f>'Raw Data'!S350/Inv_SY!R$2</f>
        <v>0</v>
      </c>
      <c r="S350" s="1">
        <f>'Raw Data'!T350/Inv_SY!S$2</f>
        <v>0</v>
      </c>
      <c r="T350" s="1">
        <f>'Raw Data'!U350/Inv_SY!T$2</f>
        <v>0</v>
      </c>
      <c r="U350" s="1">
        <f>'Raw Data'!V350/Inv_SY!U$2</f>
        <v>0</v>
      </c>
      <c r="V350" s="1">
        <f>'Raw Data'!W350/Inv_SY!V$2</f>
        <v>0</v>
      </c>
      <c r="W350" s="1">
        <f>'Raw Data'!X350/Inv_SY!W$2</f>
        <v>0</v>
      </c>
      <c r="X350" s="1">
        <f>'Raw Data'!Y350/Inv_SY!X$2</f>
        <v>0</v>
      </c>
      <c r="Y350" s="1" t="str">
        <f t="shared" si="22"/>
        <v/>
      </c>
      <c r="Z350" s="1">
        <f t="shared" si="23"/>
        <v>0</v>
      </c>
    </row>
    <row r="351" spans="1:26" x14ac:dyDescent="0.3">
      <c r="A351" s="236"/>
      <c r="B351" s="236"/>
      <c r="C351" s="236">
        <f>YEAR(Table12[[#This Row],[Date]])</f>
        <v>2026</v>
      </c>
      <c r="D351" s="236"/>
      <c r="E351" s="236"/>
      <c r="F351" s="237" t="str">
        <f>TEXT(Table12[[#This Row],[Date]],"mmm-yy")</f>
        <v>Mar-26</v>
      </c>
      <c r="G351" s="236">
        <f t="shared" si="21"/>
        <v>31</v>
      </c>
      <c r="H351" s="120">
        <f t="shared" si="24"/>
        <v>46092</v>
      </c>
      <c r="I351" s="1">
        <v>8.0208999999999993</v>
      </c>
      <c r="J351" s="1">
        <f>'Raw Data'!K351/Inv_SY!J$2</f>
        <v>0</v>
      </c>
      <c r="K351" s="1">
        <f>'Raw Data'!L351/Inv_SY!K$2</f>
        <v>0</v>
      </c>
      <c r="L351" s="1">
        <f>'Raw Data'!M351/Inv_SY!L$2</f>
        <v>0</v>
      </c>
      <c r="M351" s="1">
        <f>'Raw Data'!N351/Inv_SY!M$2</f>
        <v>0</v>
      </c>
      <c r="N351" s="1">
        <f>'Raw Data'!O351/Inv_SY!N$2</f>
        <v>0</v>
      </c>
      <c r="O351" s="1">
        <f>'Raw Data'!P351/Inv_SY!O$2</f>
        <v>0</v>
      </c>
      <c r="P351" s="1">
        <f>'Raw Data'!Q351/Inv_SY!P$2</f>
        <v>0</v>
      </c>
      <c r="Q351" s="1">
        <f>'Raw Data'!R351/Inv_SY!Q$2</f>
        <v>0</v>
      </c>
      <c r="R351" s="1">
        <f>'Raw Data'!S351/Inv_SY!R$2</f>
        <v>0</v>
      </c>
      <c r="S351" s="1">
        <f>'Raw Data'!T351/Inv_SY!S$2</f>
        <v>0</v>
      </c>
      <c r="T351" s="1">
        <f>'Raw Data'!U351/Inv_SY!T$2</f>
        <v>0</v>
      </c>
      <c r="U351" s="1">
        <f>'Raw Data'!V351/Inv_SY!U$2</f>
        <v>0</v>
      </c>
      <c r="V351" s="1">
        <f>'Raw Data'!W351/Inv_SY!V$2</f>
        <v>0</v>
      </c>
      <c r="W351" s="1">
        <f>'Raw Data'!X351/Inv_SY!W$2</f>
        <v>0</v>
      </c>
      <c r="X351" s="1">
        <f>'Raw Data'!Y351/Inv_SY!X$2</f>
        <v>0</v>
      </c>
      <c r="Y351" s="1" t="str">
        <f t="shared" si="22"/>
        <v/>
      </c>
      <c r="Z351" s="1">
        <f t="shared" si="23"/>
        <v>0</v>
      </c>
    </row>
    <row r="352" spans="1:26" x14ac:dyDescent="0.3">
      <c r="A352" s="236"/>
      <c r="B352" s="236"/>
      <c r="C352" s="236">
        <f>YEAR(Table12[[#This Row],[Date]])</f>
        <v>2026</v>
      </c>
      <c r="D352" s="236"/>
      <c r="E352" s="236"/>
      <c r="F352" s="237" t="str">
        <f>TEXT(Table12[[#This Row],[Date]],"mmm-yy")</f>
        <v>Mar-26</v>
      </c>
      <c r="G352" s="236">
        <f t="shared" si="21"/>
        <v>31</v>
      </c>
      <c r="H352" s="120">
        <f t="shared" si="24"/>
        <v>46093</v>
      </c>
      <c r="I352" s="1">
        <v>8.0208999999999993</v>
      </c>
      <c r="J352" s="1">
        <f>'Raw Data'!K352/Inv_SY!J$2</f>
        <v>0</v>
      </c>
      <c r="K352" s="1">
        <f>'Raw Data'!L352/Inv_SY!K$2</f>
        <v>0</v>
      </c>
      <c r="L352" s="1">
        <f>'Raw Data'!M352/Inv_SY!L$2</f>
        <v>0</v>
      </c>
      <c r="M352" s="1">
        <f>'Raw Data'!N352/Inv_SY!M$2</f>
        <v>0</v>
      </c>
      <c r="N352" s="1">
        <f>'Raw Data'!O352/Inv_SY!N$2</f>
        <v>0</v>
      </c>
      <c r="O352" s="1">
        <f>'Raw Data'!P352/Inv_SY!O$2</f>
        <v>0</v>
      </c>
      <c r="P352" s="1">
        <f>'Raw Data'!Q352/Inv_SY!P$2</f>
        <v>0</v>
      </c>
      <c r="Q352" s="1">
        <f>'Raw Data'!R352/Inv_SY!Q$2</f>
        <v>0</v>
      </c>
      <c r="R352" s="1">
        <f>'Raw Data'!S352/Inv_SY!R$2</f>
        <v>0</v>
      </c>
      <c r="S352" s="1">
        <f>'Raw Data'!T352/Inv_SY!S$2</f>
        <v>0</v>
      </c>
      <c r="T352" s="1">
        <f>'Raw Data'!U352/Inv_SY!T$2</f>
        <v>0</v>
      </c>
      <c r="U352" s="1">
        <f>'Raw Data'!V352/Inv_SY!U$2</f>
        <v>0</v>
      </c>
      <c r="V352" s="1">
        <f>'Raw Data'!W352/Inv_SY!V$2</f>
        <v>0</v>
      </c>
      <c r="W352" s="1">
        <f>'Raw Data'!X352/Inv_SY!W$2</f>
        <v>0</v>
      </c>
      <c r="X352" s="1">
        <f>'Raw Data'!Y352/Inv_SY!X$2</f>
        <v>0</v>
      </c>
      <c r="Y352" s="1" t="str">
        <f t="shared" si="22"/>
        <v/>
      </c>
      <c r="Z352" s="1">
        <f t="shared" si="23"/>
        <v>0</v>
      </c>
    </row>
    <row r="353" spans="1:26" x14ac:dyDescent="0.3">
      <c r="A353" s="236"/>
      <c r="B353" s="236"/>
      <c r="C353" s="236">
        <f>YEAR(Table12[[#This Row],[Date]])</f>
        <v>2026</v>
      </c>
      <c r="D353" s="236"/>
      <c r="E353" s="236"/>
      <c r="F353" s="237" t="str">
        <f>TEXT(Table12[[#This Row],[Date]],"mmm-yy")</f>
        <v>Mar-26</v>
      </c>
      <c r="G353" s="236">
        <f t="shared" si="21"/>
        <v>31</v>
      </c>
      <c r="H353" s="120">
        <f t="shared" si="24"/>
        <v>46094</v>
      </c>
      <c r="I353" s="1">
        <v>8.0208999999999993</v>
      </c>
      <c r="J353" s="1">
        <f>'Raw Data'!K353/Inv_SY!J$2</f>
        <v>0</v>
      </c>
      <c r="K353" s="1">
        <f>'Raw Data'!L353/Inv_SY!K$2</f>
        <v>0</v>
      </c>
      <c r="L353" s="1">
        <f>'Raw Data'!M353/Inv_SY!L$2</f>
        <v>0</v>
      </c>
      <c r="M353" s="1">
        <f>'Raw Data'!N353/Inv_SY!M$2</f>
        <v>0</v>
      </c>
      <c r="N353" s="1">
        <f>'Raw Data'!O353/Inv_SY!N$2</f>
        <v>0</v>
      </c>
      <c r="O353" s="1">
        <f>'Raw Data'!P353/Inv_SY!O$2</f>
        <v>0</v>
      </c>
      <c r="P353" s="1">
        <f>'Raw Data'!Q353/Inv_SY!P$2</f>
        <v>0</v>
      </c>
      <c r="Q353" s="1">
        <f>'Raw Data'!R353/Inv_SY!Q$2</f>
        <v>0</v>
      </c>
      <c r="R353" s="1">
        <f>'Raw Data'!S353/Inv_SY!R$2</f>
        <v>0</v>
      </c>
      <c r="S353" s="1">
        <f>'Raw Data'!T353/Inv_SY!S$2</f>
        <v>0</v>
      </c>
      <c r="T353" s="1">
        <f>'Raw Data'!U353/Inv_SY!T$2</f>
        <v>0</v>
      </c>
      <c r="U353" s="1">
        <f>'Raw Data'!V353/Inv_SY!U$2</f>
        <v>0</v>
      </c>
      <c r="V353" s="1">
        <f>'Raw Data'!W353/Inv_SY!V$2</f>
        <v>0</v>
      </c>
      <c r="W353" s="1">
        <f>'Raw Data'!X353/Inv_SY!W$2</f>
        <v>0</v>
      </c>
      <c r="X353" s="1">
        <f>'Raw Data'!Y353/Inv_SY!X$2</f>
        <v>0</v>
      </c>
      <c r="Y353" s="1" t="str">
        <f t="shared" si="22"/>
        <v/>
      </c>
      <c r="Z353" s="1">
        <f t="shared" si="23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289"/>
  <sheetViews>
    <sheetView tabSelected="1" zoomScaleNormal="100" workbookViewId="0">
      <pane xSplit="8" ySplit="1" topLeftCell="AB108" activePane="bottomRight" state="frozen"/>
      <selection pane="topRight" activeCell="I1" sqref="I1"/>
      <selection pane="bottomLeft" activeCell="A2" sqref="A2"/>
      <selection pane="bottomRight" activeCell="J33" sqref="J33:AM289"/>
    </sheetView>
  </sheetViews>
  <sheetFormatPr defaultRowHeight="14.4" x14ac:dyDescent="0.3"/>
  <cols>
    <col min="1" max="2" width="11.21875" customWidth="1"/>
    <col min="3" max="3" width="12.44140625" customWidth="1"/>
    <col min="4" max="4" width="14.21875" customWidth="1"/>
    <col min="5" max="5" width="13" customWidth="1"/>
    <col min="6" max="6" width="10.77734375" customWidth="1"/>
    <col min="7" max="7" width="9.21875" customWidth="1"/>
    <col min="8" max="8" width="10.21875" bestFit="1" customWidth="1"/>
    <col min="9" max="9" width="18.44140625" style="2" customWidth="1"/>
    <col min="10" max="10" width="9.5546875" customWidth="1"/>
    <col min="11" max="15" width="8.777343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1">
        <f>YEAR(Table5[[#This Row],[Date]])</f>
        <v>2025</v>
      </c>
      <c r="D2" s="55" t="s">
        <v>329</v>
      </c>
      <c r="E2" s="55" t="s">
        <v>329</v>
      </c>
      <c r="F2" s="123" t="str">
        <f>TEXT(Table5[[#This Row],[Date]],"mmm-yy")</f>
        <v>Mar-25</v>
      </c>
      <c r="G2" s="121">
        <f t="shared" ref="G2:G9" si="0">DAY(EOMONTH(F2,0))</f>
        <v>31</v>
      </c>
      <c r="H2" s="122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1">
        <f>YEAR(Table5[[#This Row],[Date]])</f>
        <v>2025</v>
      </c>
      <c r="D3" s="55" t="s">
        <v>329</v>
      </c>
      <c r="E3" s="55" t="s">
        <v>329</v>
      </c>
      <c r="F3" s="123" t="str">
        <f>TEXT(Table5[[#This Row],[Date]],"mmm-yy")</f>
        <v>Mar-25</v>
      </c>
      <c r="G3" s="121">
        <f t="shared" si="0"/>
        <v>31</v>
      </c>
      <c r="H3" s="122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1">
        <f>YEAR(Table5[[#This Row],[Date]])</f>
        <v>2025</v>
      </c>
      <c r="D4" s="55" t="s">
        <v>329</v>
      </c>
      <c r="E4" s="55" t="s">
        <v>329</v>
      </c>
      <c r="F4" s="123" t="str">
        <f>TEXT(Table5[[#This Row],[Date]],"mmm-yy")</f>
        <v>Mar-25</v>
      </c>
      <c r="G4" s="121">
        <f t="shared" si="0"/>
        <v>31</v>
      </c>
      <c r="H4" s="122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1">
        <f>YEAR(Table5[[#This Row],[Date]])</f>
        <v>2025</v>
      </c>
      <c r="D5" s="55" t="s">
        <v>329</v>
      </c>
      <c r="E5" s="55" t="s">
        <v>329</v>
      </c>
      <c r="F5" s="123" t="str">
        <f>TEXT(Table5[[#This Row],[Date]],"mmm-yy")</f>
        <v>Apr-25</v>
      </c>
      <c r="G5" s="121">
        <f t="shared" si="0"/>
        <v>30</v>
      </c>
      <c r="H5" s="122">
        <f t="shared" ref="H5:H68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1">
        <f>YEAR(Table5[[#This Row],[Date]])</f>
        <v>2025</v>
      </c>
      <c r="D6" s="55" t="s">
        <v>329</v>
      </c>
      <c r="E6" s="55" t="s">
        <v>329</v>
      </c>
      <c r="F6" s="123" t="str">
        <f>TEXT(Table5[[#This Row],[Date]],"mmm-yy")</f>
        <v>Apr-25</v>
      </c>
      <c r="G6" s="121">
        <f t="shared" si="0"/>
        <v>30</v>
      </c>
      <c r="H6" s="122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1">
        <f>YEAR(Table5[[#This Row],[Date]])</f>
        <v>2025</v>
      </c>
      <c r="D7" s="55" t="s">
        <v>329</v>
      </c>
      <c r="E7" s="55" t="s">
        <v>329</v>
      </c>
      <c r="F7" s="123" t="str">
        <f>TEXT(Table5[[#This Row],[Date]],"mmm-yy")</f>
        <v>Apr-25</v>
      </c>
      <c r="G7" s="121">
        <f t="shared" si="0"/>
        <v>30</v>
      </c>
      <c r="H7" s="122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1">
        <f>YEAR(Table5[[#This Row],[Date]])</f>
        <v>2025</v>
      </c>
      <c r="D8" s="55" t="s">
        <v>329</v>
      </c>
      <c r="E8" s="55" t="s">
        <v>329</v>
      </c>
      <c r="F8" s="123" t="str">
        <f>TEXT(Table5[[#This Row],[Date]],"mmm-yy")</f>
        <v>Apr-25</v>
      </c>
      <c r="G8" s="121">
        <f t="shared" si="0"/>
        <v>30</v>
      </c>
      <c r="H8" s="122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1">
        <f>YEAR(Table5[[#This Row],[Date]])</f>
        <v>2025</v>
      </c>
      <c r="D9" s="55" t="s">
        <v>329</v>
      </c>
      <c r="E9" s="55" t="s">
        <v>329</v>
      </c>
      <c r="F9" s="123" t="str">
        <f>TEXT(Table5[[#This Row],[Date]],"mmm-yy")</f>
        <v>Apr-25</v>
      </c>
      <c r="G9" s="121">
        <f t="shared" si="0"/>
        <v>30</v>
      </c>
      <c r="H9" s="122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1">
        <f>YEAR(Table5[[#This Row],[Date]])</f>
        <v>2025</v>
      </c>
      <c r="D10" s="55" t="s">
        <v>329</v>
      </c>
      <c r="E10" s="55" t="s">
        <v>329</v>
      </c>
      <c r="F10" s="123" t="str">
        <f>TEXT(Table5[[#This Row],[Date]],"mmm-yy")</f>
        <v>Apr-25</v>
      </c>
      <c r="G10" s="121">
        <f t="shared" ref="G10:G41" si="3">DAY(EOMONTH(F10,0))</f>
        <v>30</v>
      </c>
      <c r="H10" s="122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1">
        <f>YEAR(Table5[[#This Row],[Date]])</f>
        <v>2025</v>
      </c>
      <c r="D11" s="55" t="s">
        <v>329</v>
      </c>
      <c r="E11" s="55" t="s">
        <v>329</v>
      </c>
      <c r="F11" s="123" t="str">
        <f>TEXT(Table5[[#This Row],[Date]],"mmm-yy")</f>
        <v>Apr-25</v>
      </c>
      <c r="G11" s="121">
        <f t="shared" si="3"/>
        <v>30</v>
      </c>
      <c r="H11" s="122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1">
        <f>YEAR(Table5[[#This Row],[Date]])</f>
        <v>2025</v>
      </c>
      <c r="D12" s="55" t="s">
        <v>329</v>
      </c>
      <c r="E12" s="55" t="s">
        <v>329</v>
      </c>
      <c r="F12" s="123" t="str">
        <f>TEXT(Table5[[#This Row],[Date]],"mmm-yy")</f>
        <v>Apr-25</v>
      </c>
      <c r="G12" s="121">
        <f t="shared" si="3"/>
        <v>30</v>
      </c>
      <c r="H12" s="122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1">
        <f>YEAR(Table5[[#This Row],[Date]])</f>
        <v>2025</v>
      </c>
      <c r="D13" s="55" t="s">
        <v>329</v>
      </c>
      <c r="E13" s="55" t="s">
        <v>329</v>
      </c>
      <c r="F13" s="123" t="str">
        <f>TEXT(Table5[[#This Row],[Date]],"mmm-yy")</f>
        <v>Apr-25</v>
      </c>
      <c r="G13" s="121">
        <f t="shared" si="3"/>
        <v>30</v>
      </c>
      <c r="H13" s="122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1">
        <f>YEAR(Table5[[#This Row],[Date]])</f>
        <v>2025</v>
      </c>
      <c r="D14" s="55" t="s">
        <v>329</v>
      </c>
      <c r="E14" s="55" t="s">
        <v>329</v>
      </c>
      <c r="F14" s="123" t="str">
        <f>TEXT(Table5[[#This Row],[Date]],"mmm-yy")</f>
        <v>Apr-25</v>
      </c>
      <c r="G14" s="121">
        <f t="shared" si="3"/>
        <v>30</v>
      </c>
      <c r="H14" s="122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1">
        <f>YEAR(Table5[[#This Row],[Date]])</f>
        <v>2025</v>
      </c>
      <c r="D15" s="55" t="s">
        <v>329</v>
      </c>
      <c r="E15" s="55" t="s">
        <v>329</v>
      </c>
      <c r="F15" s="123" t="str">
        <f>TEXT(Table5[[#This Row],[Date]],"mmm-yy")</f>
        <v>Apr-25</v>
      </c>
      <c r="G15" s="121">
        <f t="shared" si="3"/>
        <v>30</v>
      </c>
      <c r="H15" s="122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1">
        <f>YEAR(Table5[[#This Row],[Date]])</f>
        <v>2025</v>
      </c>
      <c r="D16" s="55" t="s">
        <v>329</v>
      </c>
      <c r="E16" s="55" t="s">
        <v>329</v>
      </c>
      <c r="F16" s="123" t="str">
        <f>TEXT(Table5[[#This Row],[Date]],"mmm-yy")</f>
        <v>Apr-25</v>
      </c>
      <c r="G16" s="121">
        <f t="shared" si="3"/>
        <v>30</v>
      </c>
      <c r="H16" s="122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1">
        <f>YEAR(Table5[[#This Row],[Date]])</f>
        <v>2025</v>
      </c>
      <c r="D17" s="55" t="s">
        <v>329</v>
      </c>
      <c r="E17" s="55" t="s">
        <v>329</v>
      </c>
      <c r="F17" s="123" t="str">
        <f>TEXT(Table5[[#This Row],[Date]],"mmm-yy")</f>
        <v>Apr-25</v>
      </c>
      <c r="G17" s="121">
        <f t="shared" si="3"/>
        <v>30</v>
      </c>
      <c r="H17" s="122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1">
        <f>YEAR(Table5[[#This Row],[Date]])</f>
        <v>2025</v>
      </c>
      <c r="D18" s="55" t="s">
        <v>329</v>
      </c>
      <c r="E18" s="55" t="s">
        <v>329</v>
      </c>
      <c r="F18" s="123" t="str">
        <f>TEXT(Table5[[#This Row],[Date]],"mmm-yy")</f>
        <v>Apr-25</v>
      </c>
      <c r="G18" s="121">
        <f t="shared" si="3"/>
        <v>30</v>
      </c>
      <c r="H18" s="122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1">
        <f>YEAR(Table5[[#This Row],[Date]])</f>
        <v>2025</v>
      </c>
      <c r="D19" s="55" t="s">
        <v>329</v>
      </c>
      <c r="E19" s="55" t="s">
        <v>329</v>
      </c>
      <c r="F19" s="123" t="str">
        <f>TEXT(Table5[[#This Row],[Date]],"mmm-yy")</f>
        <v>Apr-25</v>
      </c>
      <c r="G19" s="121">
        <f t="shared" si="3"/>
        <v>30</v>
      </c>
      <c r="H19" s="122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1">
        <f>YEAR(Table5[[#This Row],[Date]])</f>
        <v>2025</v>
      </c>
      <c r="D20" s="55" t="s">
        <v>329</v>
      </c>
      <c r="E20" s="55" t="s">
        <v>329</v>
      </c>
      <c r="F20" s="123" t="str">
        <f>TEXT(Table5[[#This Row],[Date]],"mmm-yy")</f>
        <v>Apr-25</v>
      </c>
      <c r="G20" s="121">
        <f t="shared" si="3"/>
        <v>30</v>
      </c>
      <c r="H20" s="122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1">
        <f>YEAR(Table5[[#This Row],[Date]])</f>
        <v>2025</v>
      </c>
      <c r="D21" s="55" t="s">
        <v>329</v>
      </c>
      <c r="E21" s="55" t="s">
        <v>329</v>
      </c>
      <c r="F21" s="123" t="str">
        <f>TEXT(Table5[[#This Row],[Date]],"mmm-yy")</f>
        <v>Apr-25</v>
      </c>
      <c r="G21" s="121">
        <f t="shared" si="3"/>
        <v>30</v>
      </c>
      <c r="H21" s="122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1">
        <f>YEAR(Table5[[#This Row],[Date]])</f>
        <v>2025</v>
      </c>
      <c r="D22" s="55" t="s">
        <v>329</v>
      </c>
      <c r="E22" s="55" t="s">
        <v>329</v>
      </c>
      <c r="F22" s="123" t="str">
        <f>TEXT(Table5[[#This Row],[Date]],"mmm-yy")</f>
        <v>Apr-25</v>
      </c>
      <c r="G22" s="121">
        <f t="shared" si="3"/>
        <v>30</v>
      </c>
      <c r="H22" s="122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1">
        <f>YEAR(Table5[[#This Row],[Date]])</f>
        <v>2025</v>
      </c>
      <c r="D23" s="55" t="s">
        <v>329</v>
      </c>
      <c r="E23" s="55" t="s">
        <v>329</v>
      </c>
      <c r="F23" s="123" t="str">
        <f>TEXT(Table5[[#This Row],[Date]],"mmm-yy")</f>
        <v>Apr-25</v>
      </c>
      <c r="G23" s="121">
        <f t="shared" si="3"/>
        <v>30</v>
      </c>
      <c r="H23" s="122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1">
        <f>YEAR(Table5[[#This Row],[Date]])</f>
        <v>2025</v>
      </c>
      <c r="D24" s="55" t="s">
        <v>329</v>
      </c>
      <c r="E24" s="55" t="s">
        <v>329</v>
      </c>
      <c r="F24" s="123" t="str">
        <f>TEXT(Table5[[#This Row],[Date]],"mmm-yy")</f>
        <v>Apr-25</v>
      </c>
      <c r="G24" s="121">
        <f t="shared" si="3"/>
        <v>30</v>
      </c>
      <c r="H24" s="122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1">
        <f>YEAR(Table5[[#This Row],[Date]])</f>
        <v>2025</v>
      </c>
      <c r="D25" s="55" t="s">
        <v>329</v>
      </c>
      <c r="E25" s="55" t="s">
        <v>329</v>
      </c>
      <c r="F25" s="123" t="str">
        <f>TEXT(Table5[[#This Row],[Date]],"mmm-yy")</f>
        <v>Apr-25</v>
      </c>
      <c r="G25" s="121">
        <f t="shared" si="3"/>
        <v>30</v>
      </c>
      <c r="H25" s="122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1">
        <f>YEAR(Table5[[#This Row],[Date]])</f>
        <v>2025</v>
      </c>
      <c r="D26" s="55" t="s">
        <v>329</v>
      </c>
      <c r="E26" s="55" t="s">
        <v>329</v>
      </c>
      <c r="F26" s="123" t="str">
        <f>TEXT(Table5[[#This Row],[Date]],"mmm-yy")</f>
        <v>Apr-25</v>
      </c>
      <c r="G26" s="121">
        <f t="shared" si="3"/>
        <v>30</v>
      </c>
      <c r="H26" s="122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1">
        <f>YEAR(Table5[[#This Row],[Date]])</f>
        <v>2025</v>
      </c>
      <c r="D27" s="55" t="s">
        <v>329</v>
      </c>
      <c r="E27" s="55" t="s">
        <v>329</v>
      </c>
      <c r="F27" s="123" t="str">
        <f>TEXT(Table5[[#This Row],[Date]],"mmm-yy")</f>
        <v>Apr-25</v>
      </c>
      <c r="G27" s="121">
        <f t="shared" si="3"/>
        <v>30</v>
      </c>
      <c r="H27" s="122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1">
        <f>YEAR(Table5[[#This Row],[Date]])</f>
        <v>2025</v>
      </c>
      <c r="D28" s="55" t="s">
        <v>329</v>
      </c>
      <c r="E28" s="55" t="s">
        <v>329</v>
      </c>
      <c r="F28" s="123" t="str">
        <f>TEXT(Table5[[#This Row],[Date]],"mmm-yy")</f>
        <v>Apr-25</v>
      </c>
      <c r="G28" s="121">
        <f t="shared" si="3"/>
        <v>30</v>
      </c>
      <c r="H28" s="122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1">
        <f>YEAR(Table5[[#This Row],[Date]])</f>
        <v>2025</v>
      </c>
      <c r="D29" s="55" t="s">
        <v>329</v>
      </c>
      <c r="E29" s="55" t="s">
        <v>329</v>
      </c>
      <c r="F29" s="123" t="str">
        <f>TEXT(Table5[[#This Row],[Date]],"mmm-yy")</f>
        <v>Apr-25</v>
      </c>
      <c r="G29" s="121">
        <f t="shared" si="3"/>
        <v>30</v>
      </c>
      <c r="H29" s="122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1">
        <f>YEAR(Table5[[#This Row],[Date]])</f>
        <v>2025</v>
      </c>
      <c r="D30" s="55" t="s">
        <v>329</v>
      </c>
      <c r="E30" s="55" t="s">
        <v>329</v>
      </c>
      <c r="F30" s="123" t="str">
        <f>TEXT(Table5[[#This Row],[Date]],"mmm-yy")</f>
        <v>Apr-25</v>
      </c>
      <c r="G30" s="121">
        <f t="shared" si="3"/>
        <v>30</v>
      </c>
      <c r="H30" s="122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1">
        <f>YEAR(Table5[[#This Row],[Date]])</f>
        <v>2025</v>
      </c>
      <c r="D31" s="55" t="s">
        <v>329</v>
      </c>
      <c r="E31" s="55" t="s">
        <v>329</v>
      </c>
      <c r="F31" s="123" t="str">
        <f>TEXT(Table5[[#This Row],[Date]],"mmm-yy")</f>
        <v>Apr-25</v>
      </c>
      <c r="G31" s="121">
        <f t="shared" si="3"/>
        <v>30</v>
      </c>
      <c r="H31" s="122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1">
        <f>YEAR(Table5[[#This Row],[Date]])</f>
        <v>2025</v>
      </c>
      <c r="D32" s="55" t="s">
        <v>329</v>
      </c>
      <c r="E32" s="55" t="s">
        <v>329</v>
      </c>
      <c r="F32" s="123" t="str">
        <f>TEXT(Table5[[#This Row],[Date]],"mmm-yy")</f>
        <v>Apr-25</v>
      </c>
      <c r="G32" s="121">
        <f t="shared" si="3"/>
        <v>30</v>
      </c>
      <c r="H32" s="122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1">
        <f>YEAR(Table5[[#This Row],[Date]])</f>
        <v>2025</v>
      </c>
      <c r="D33" s="55" t="s">
        <v>329</v>
      </c>
      <c r="E33" s="55" t="s">
        <v>329</v>
      </c>
      <c r="F33" s="123" t="str">
        <f>TEXT(Table5[[#This Row],[Date]],"mmm-yy")</f>
        <v>Apr-25</v>
      </c>
      <c r="G33" s="121">
        <f t="shared" si="3"/>
        <v>30</v>
      </c>
      <c r="H33" s="122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1">
        <f>YEAR(Table5[[#This Row],[Date]])</f>
        <v>2025</v>
      </c>
      <c r="D34" s="55" t="s">
        <v>329</v>
      </c>
      <c r="E34" s="55" t="s">
        <v>329</v>
      </c>
      <c r="F34" s="123" t="str">
        <f>TEXT(Table5[[#This Row],[Date]],"mmm-yy")</f>
        <v>Apr-25</v>
      </c>
      <c r="G34" s="121">
        <f t="shared" si="3"/>
        <v>30</v>
      </c>
      <c r="H34" s="122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1">
        <f>YEAR(Table5[[#This Row],[Date]])</f>
        <v>2025</v>
      </c>
      <c r="D35" s="55" t="s">
        <v>329</v>
      </c>
      <c r="E35" s="55" t="s">
        <v>329</v>
      </c>
      <c r="F35" s="123" t="str">
        <f>TEXT(Table5[[#This Row],[Date]],"mmm-yy")</f>
        <v>May-25</v>
      </c>
      <c r="G35" s="121">
        <f t="shared" si="3"/>
        <v>31</v>
      </c>
      <c r="H35" s="122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1">
        <f>YEAR(Table5[[#This Row],[Date]])</f>
        <v>2025</v>
      </c>
      <c r="D36" s="55" t="s">
        <v>329</v>
      </c>
      <c r="E36" s="55" t="s">
        <v>329</v>
      </c>
      <c r="F36" s="123" t="str">
        <f>TEXT(Table5[[#This Row],[Date]],"mmm-yy")</f>
        <v>May-25</v>
      </c>
      <c r="G36" s="121">
        <f t="shared" si="3"/>
        <v>31</v>
      </c>
      <c r="H36" s="122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1">
        <f>YEAR(Table5[[#This Row],[Date]])</f>
        <v>2025</v>
      </c>
      <c r="D37" s="55" t="s">
        <v>329</v>
      </c>
      <c r="E37" s="55" t="s">
        <v>329</v>
      </c>
      <c r="F37" s="123" t="str">
        <f>TEXT(Table5[[#This Row],[Date]],"mmm-yy")</f>
        <v>May-25</v>
      </c>
      <c r="G37" s="121">
        <f t="shared" si="3"/>
        <v>31</v>
      </c>
      <c r="H37" s="122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1">
        <f>YEAR(Table5[[#This Row],[Date]])</f>
        <v>2025</v>
      </c>
      <c r="D38" s="55" t="s">
        <v>329</v>
      </c>
      <c r="E38" s="55" t="s">
        <v>329</v>
      </c>
      <c r="F38" s="123" t="str">
        <f>TEXT(Table5[[#This Row],[Date]],"mmm-yy")</f>
        <v>May-25</v>
      </c>
      <c r="G38" s="121">
        <f t="shared" si="3"/>
        <v>31</v>
      </c>
      <c r="H38" s="122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1">
        <f>YEAR(Table5[[#This Row],[Date]])</f>
        <v>2025</v>
      </c>
      <c r="D39" s="55" t="s">
        <v>329</v>
      </c>
      <c r="E39" s="55" t="s">
        <v>329</v>
      </c>
      <c r="F39" s="123" t="str">
        <f>TEXT(Table5[[#This Row],[Date]],"mmm-yy")</f>
        <v>May-25</v>
      </c>
      <c r="G39" s="121">
        <f t="shared" si="3"/>
        <v>31</v>
      </c>
      <c r="H39" s="122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1">
        <f>YEAR(Table5[[#This Row],[Date]])</f>
        <v>2025</v>
      </c>
      <c r="D40" s="55" t="s">
        <v>329</v>
      </c>
      <c r="E40" s="55" t="s">
        <v>329</v>
      </c>
      <c r="F40" s="123" t="str">
        <f>TEXT(Table5[[#This Row],[Date]],"mmm-yy")</f>
        <v>May-25</v>
      </c>
      <c r="G40" s="121">
        <f t="shared" si="3"/>
        <v>31</v>
      </c>
      <c r="H40" s="122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1">
        <f>YEAR(Table5[[#This Row],[Date]])</f>
        <v>2025</v>
      </c>
      <c r="D41" s="55" t="s">
        <v>329</v>
      </c>
      <c r="E41" s="55" t="s">
        <v>329</v>
      </c>
      <c r="F41" s="123" t="str">
        <f>TEXT(Table5[[#This Row],[Date]],"mmm-yy")</f>
        <v>May-25</v>
      </c>
      <c r="G41" s="121">
        <f t="shared" si="3"/>
        <v>31</v>
      </c>
      <c r="H41" s="122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1">
        <f>YEAR(Table5[[#This Row],[Date]])</f>
        <v>2025</v>
      </c>
      <c r="D42" s="55" t="s">
        <v>329</v>
      </c>
      <c r="E42" s="55" t="s">
        <v>329</v>
      </c>
      <c r="F42" s="123" t="str">
        <f>TEXT(Table5[[#This Row],[Date]],"mmm-yy")</f>
        <v>May-25</v>
      </c>
      <c r="G42" s="121">
        <f t="shared" ref="G42:G44" si="4">DAY(EOMONTH(F42,0))</f>
        <v>31</v>
      </c>
      <c r="H42" s="122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1">
        <f>YEAR(Table5[[#This Row],[Date]])</f>
        <v>2025</v>
      </c>
      <c r="D43" s="55" t="s">
        <v>329</v>
      </c>
      <c r="E43" s="55" t="s">
        <v>329</v>
      </c>
      <c r="F43" s="123" t="str">
        <f>TEXT(Table5[[#This Row],[Date]],"mmm-yy")</f>
        <v>May-25</v>
      </c>
      <c r="G43" s="121">
        <f t="shared" si="4"/>
        <v>31</v>
      </c>
      <c r="H43" s="122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1">
        <f>YEAR(Table5[[#This Row],[Date]])</f>
        <v>2025</v>
      </c>
      <c r="D44" s="55" t="s">
        <v>329</v>
      </c>
      <c r="E44" s="55" t="s">
        <v>329</v>
      </c>
      <c r="F44" s="123" t="str">
        <f>TEXT(Table5[[#This Row],[Date]],"mmm-yy")</f>
        <v>May-25</v>
      </c>
      <c r="G44" s="121">
        <f t="shared" si="4"/>
        <v>31</v>
      </c>
      <c r="H44" s="122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34">
        <f>YEAR(Table5[[#This Row],[Date]])+IF(MONTH(Table5[[#This Row],[Date]])&gt;=4,1,0)</f>
        <v>2026</v>
      </c>
      <c r="B45" s="234"/>
      <c r="C45" s="234">
        <f>YEAR(Table5[[#This Row],[Date]])</f>
        <v>2025</v>
      </c>
      <c r="D45" s="234"/>
      <c r="E45" s="234"/>
      <c r="F45" s="235" t="str">
        <f>TEXT(Table5[[#This Row],[Date]],"mmm-yy")</f>
        <v>May-25</v>
      </c>
      <c r="G45" s="234">
        <f t="shared" ref="G45:G108" si="5">DAY(EOMONTH(F45,0))</f>
        <v>31</v>
      </c>
      <c r="H45" s="122">
        <f t="shared" si="2"/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34">
        <f>YEAR(Table5[[#This Row],[Date]])+IF(MONTH(Table5[[#This Row],[Date]])&gt;=4,1,0)</f>
        <v>2026</v>
      </c>
      <c r="B46" s="234"/>
      <c r="C46" s="234">
        <f>YEAR(Table5[[#This Row],[Date]])</f>
        <v>2025</v>
      </c>
      <c r="D46" s="234"/>
      <c r="E46" s="234"/>
      <c r="F46" s="235" t="str">
        <f>TEXT(Table5[[#This Row],[Date]],"mmm-yy")</f>
        <v>May-25</v>
      </c>
      <c r="G46" s="234">
        <f t="shared" si="5"/>
        <v>31</v>
      </c>
      <c r="H46" s="122">
        <f t="shared" si="2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34">
        <f>YEAR(Table5[[#This Row],[Date]])+IF(MONTH(Table5[[#This Row],[Date]])&gt;=4,1,0)</f>
        <v>2026</v>
      </c>
      <c r="B47" s="234"/>
      <c r="C47" s="234">
        <f>YEAR(Table5[[#This Row],[Date]])</f>
        <v>2025</v>
      </c>
      <c r="D47" s="234"/>
      <c r="E47" s="234"/>
      <c r="F47" s="235" t="str">
        <f>TEXT(Table5[[#This Row],[Date]],"mmm-yy")</f>
        <v>May-25</v>
      </c>
      <c r="G47" s="234">
        <f t="shared" si="5"/>
        <v>31</v>
      </c>
      <c r="H47" s="122">
        <f t="shared" si="2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34">
        <f>YEAR(Table5[[#This Row],[Date]])+IF(MONTH(Table5[[#This Row],[Date]])&gt;=4,1,0)</f>
        <v>2026</v>
      </c>
      <c r="B48" s="234"/>
      <c r="C48" s="234">
        <f>YEAR(Table5[[#This Row],[Date]])</f>
        <v>2025</v>
      </c>
      <c r="D48" s="234"/>
      <c r="E48" s="234"/>
      <c r="F48" s="235" t="str">
        <f>TEXT(Table5[[#This Row],[Date]],"mmm-yy")</f>
        <v>May-25</v>
      </c>
      <c r="G48" s="234">
        <f t="shared" si="5"/>
        <v>31</v>
      </c>
      <c r="H48" s="122">
        <f t="shared" si="2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34">
        <f>YEAR(Table5[[#This Row],[Date]])+IF(MONTH(Table5[[#This Row],[Date]])&gt;=4,1,0)</f>
        <v>2026</v>
      </c>
      <c r="B49" s="234"/>
      <c r="C49" s="234">
        <f>YEAR(Table5[[#This Row],[Date]])</f>
        <v>2025</v>
      </c>
      <c r="D49" s="234"/>
      <c r="E49" s="234"/>
      <c r="F49" s="235" t="str">
        <f>TEXT(Table5[[#This Row],[Date]],"mmm-yy")</f>
        <v>May-25</v>
      </c>
      <c r="G49" s="234">
        <f t="shared" si="5"/>
        <v>31</v>
      </c>
      <c r="H49" s="122">
        <f t="shared" si="2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34">
        <f>YEAR(Table5[[#This Row],[Date]])+IF(MONTH(Table5[[#This Row],[Date]])&gt;=4,1,0)</f>
        <v>2026</v>
      </c>
      <c r="B50" s="234"/>
      <c r="C50" s="234">
        <f>YEAR(Table5[[#This Row],[Date]])</f>
        <v>2025</v>
      </c>
      <c r="D50" s="234"/>
      <c r="E50" s="234"/>
      <c r="F50" s="235" t="str">
        <f>TEXT(Table5[[#This Row],[Date]],"mmm-yy")</f>
        <v>May-25</v>
      </c>
      <c r="G50" s="234">
        <f t="shared" si="5"/>
        <v>31</v>
      </c>
      <c r="H50" s="122">
        <f t="shared" si="2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34">
        <f>YEAR(Table5[[#This Row],[Date]])+IF(MONTH(Table5[[#This Row],[Date]])&gt;=4,1,0)</f>
        <v>2026</v>
      </c>
      <c r="B51" s="234"/>
      <c r="C51" s="234">
        <f>YEAR(Table5[[#This Row],[Date]])</f>
        <v>2025</v>
      </c>
      <c r="D51" s="234"/>
      <c r="E51" s="234"/>
      <c r="F51" s="235" t="str">
        <f>TEXT(Table5[[#This Row],[Date]],"mmm-yy")</f>
        <v>May-25</v>
      </c>
      <c r="G51" s="234">
        <f t="shared" si="5"/>
        <v>31</v>
      </c>
      <c r="H51" s="122">
        <f t="shared" si="2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34">
        <f>YEAR(Table5[[#This Row],[Date]])+IF(MONTH(Table5[[#This Row],[Date]])&gt;=4,1,0)</f>
        <v>2026</v>
      </c>
      <c r="B52" s="234"/>
      <c r="C52" s="234">
        <f>YEAR(Table5[[#This Row],[Date]])</f>
        <v>2025</v>
      </c>
      <c r="D52" s="234"/>
      <c r="E52" s="234"/>
      <c r="F52" s="235" t="str">
        <f>TEXT(Table5[[#This Row],[Date]],"mmm-yy")</f>
        <v>May-25</v>
      </c>
      <c r="G52" s="234">
        <f t="shared" si="5"/>
        <v>31</v>
      </c>
      <c r="H52" s="122">
        <f t="shared" si="2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34">
        <f>YEAR(Table5[[#This Row],[Date]])+IF(MONTH(Table5[[#This Row],[Date]])&gt;=4,1,0)</f>
        <v>2026</v>
      </c>
      <c r="B53" s="234"/>
      <c r="C53" s="234">
        <f>YEAR(Table5[[#This Row],[Date]])</f>
        <v>2025</v>
      </c>
      <c r="D53" s="234"/>
      <c r="E53" s="234"/>
      <c r="F53" s="235" t="str">
        <f>TEXT(Table5[[#This Row],[Date]],"mmm-yy")</f>
        <v>May-25</v>
      </c>
      <c r="G53" s="234">
        <f t="shared" si="5"/>
        <v>31</v>
      </c>
      <c r="H53" s="122">
        <f t="shared" si="2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34">
        <f>YEAR(Table5[[#This Row],[Date]])+IF(MONTH(Table5[[#This Row],[Date]])&gt;=4,1,0)</f>
        <v>2026</v>
      </c>
      <c r="B54" s="234"/>
      <c r="C54" s="234">
        <f>YEAR(Table5[[#This Row],[Date]])</f>
        <v>2025</v>
      </c>
      <c r="D54" s="234"/>
      <c r="E54" s="234"/>
      <c r="F54" s="235" t="str">
        <f>TEXT(Table5[[#This Row],[Date]],"mmm-yy")</f>
        <v>May-25</v>
      </c>
      <c r="G54" s="234">
        <f t="shared" si="5"/>
        <v>31</v>
      </c>
      <c r="H54" s="122">
        <f t="shared" si="2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34">
        <f>YEAR(Table5[[#This Row],[Date]])+IF(MONTH(Table5[[#This Row],[Date]])&gt;=4,1,0)</f>
        <v>2026</v>
      </c>
      <c r="B55" s="234"/>
      <c r="C55" s="234">
        <f>YEAR(Table5[[#This Row],[Date]])</f>
        <v>2025</v>
      </c>
      <c r="D55" s="234"/>
      <c r="E55" s="234"/>
      <c r="F55" s="235" t="str">
        <f>TEXT(Table5[[#This Row],[Date]],"mmm-yy")</f>
        <v>May-25</v>
      </c>
      <c r="G55" s="234">
        <f t="shared" si="5"/>
        <v>31</v>
      </c>
      <c r="H55" s="122">
        <f t="shared" si="2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34">
        <f>YEAR(Table5[[#This Row],[Date]])+IF(MONTH(Table5[[#This Row],[Date]])&gt;=4,1,0)</f>
        <v>2026</v>
      </c>
      <c r="B56" s="234"/>
      <c r="C56" s="234">
        <f>YEAR(Table5[[#This Row],[Date]])</f>
        <v>2025</v>
      </c>
      <c r="D56" s="234"/>
      <c r="E56" s="234"/>
      <c r="F56" s="235" t="str">
        <f>TEXT(Table5[[#This Row],[Date]],"mmm-yy")</f>
        <v>May-25</v>
      </c>
      <c r="G56" s="234">
        <f t="shared" si="5"/>
        <v>31</v>
      </c>
      <c r="H56" s="122">
        <f t="shared" si="2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34">
        <f>YEAR(Table5[[#This Row],[Date]])+IF(MONTH(Table5[[#This Row],[Date]])&gt;=4,1,0)</f>
        <v>2026</v>
      </c>
      <c r="B57" s="234"/>
      <c r="C57" s="234">
        <f>YEAR(Table5[[#This Row],[Date]])</f>
        <v>2025</v>
      </c>
      <c r="D57" s="234"/>
      <c r="E57" s="234"/>
      <c r="F57" s="235" t="str">
        <f>TEXT(Table5[[#This Row],[Date]],"mmm-yy")</f>
        <v>May-25</v>
      </c>
      <c r="G57" s="234">
        <f t="shared" si="5"/>
        <v>31</v>
      </c>
      <c r="H57" s="122">
        <f t="shared" si="2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34">
        <f>YEAR(Table5[[#This Row],[Date]])+IF(MONTH(Table5[[#This Row],[Date]])&gt;=4,1,0)</f>
        <v>2026</v>
      </c>
      <c r="B58" s="234"/>
      <c r="C58" s="234">
        <f>YEAR(Table5[[#This Row],[Date]])</f>
        <v>2025</v>
      </c>
      <c r="D58" s="234"/>
      <c r="E58" s="234"/>
      <c r="F58" s="235" t="str">
        <f>TEXT(Table5[[#This Row],[Date]],"mmm-yy")</f>
        <v>May-25</v>
      </c>
      <c r="G58" s="234">
        <f t="shared" si="5"/>
        <v>31</v>
      </c>
      <c r="H58" s="122">
        <f t="shared" si="2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34">
        <f>YEAR(Table5[[#This Row],[Date]])+IF(MONTH(Table5[[#This Row],[Date]])&gt;=4,1,0)</f>
        <v>2026</v>
      </c>
      <c r="B59" s="234"/>
      <c r="C59" s="234">
        <f>YEAR(Table5[[#This Row],[Date]])</f>
        <v>2025</v>
      </c>
      <c r="D59" s="234"/>
      <c r="E59" s="234"/>
      <c r="F59" s="235" t="str">
        <f>TEXT(Table5[[#This Row],[Date]],"mmm-yy")</f>
        <v>May-25</v>
      </c>
      <c r="G59" s="234">
        <f t="shared" si="5"/>
        <v>31</v>
      </c>
      <c r="H59" s="122">
        <f t="shared" si="2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34">
        <f>YEAR(Table5[[#This Row],[Date]])+IF(MONTH(Table5[[#This Row],[Date]])&gt;=4,1,0)</f>
        <v>2026</v>
      </c>
      <c r="B60" s="234"/>
      <c r="C60" s="234">
        <f>YEAR(Table5[[#This Row],[Date]])</f>
        <v>2025</v>
      </c>
      <c r="D60" s="234"/>
      <c r="E60" s="234"/>
      <c r="F60" s="235" t="str">
        <f>TEXT(Table5[[#This Row],[Date]],"mmm-yy")</f>
        <v>May-25</v>
      </c>
      <c r="G60" s="234">
        <f t="shared" si="5"/>
        <v>31</v>
      </c>
      <c r="H60" s="122">
        <f t="shared" si="2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34">
        <f>YEAR(Table5[[#This Row],[Date]])+IF(MONTH(Table5[[#This Row],[Date]])&gt;=4,1,0)</f>
        <v>2026</v>
      </c>
      <c r="B61" s="234"/>
      <c r="C61" s="234">
        <f>YEAR(Table5[[#This Row],[Date]])</f>
        <v>2025</v>
      </c>
      <c r="D61" s="234"/>
      <c r="E61" s="234"/>
      <c r="F61" s="235" t="str">
        <f>TEXT(Table5[[#This Row],[Date]],"mmm-yy")</f>
        <v>May-25</v>
      </c>
      <c r="G61" s="234">
        <f t="shared" si="5"/>
        <v>31</v>
      </c>
      <c r="H61" s="122">
        <f t="shared" si="2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34">
        <f>YEAR(Table5[[#This Row],[Date]])+IF(MONTH(Table5[[#This Row],[Date]])&gt;=4,1,0)</f>
        <v>2026</v>
      </c>
      <c r="B62" s="234"/>
      <c r="C62" s="234">
        <f>YEAR(Table5[[#This Row],[Date]])</f>
        <v>2025</v>
      </c>
      <c r="D62" s="234"/>
      <c r="E62" s="234"/>
      <c r="F62" s="235" t="str">
        <f>TEXT(Table5[[#This Row],[Date]],"mmm-yy")</f>
        <v>May-25</v>
      </c>
      <c r="G62" s="234">
        <f t="shared" si="5"/>
        <v>31</v>
      </c>
      <c r="H62" s="122">
        <f t="shared" si="2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34">
        <f>YEAR(Table5[[#This Row],[Date]])+IF(MONTH(Table5[[#This Row],[Date]])&gt;=4,1,0)</f>
        <v>2026</v>
      </c>
      <c r="B63" s="234"/>
      <c r="C63" s="234">
        <f>YEAR(Table5[[#This Row],[Date]])</f>
        <v>2025</v>
      </c>
      <c r="D63" s="234"/>
      <c r="E63" s="234"/>
      <c r="F63" s="235" t="str">
        <f>TEXT(Table5[[#This Row],[Date]],"mmm-yy")</f>
        <v>May-25</v>
      </c>
      <c r="G63" s="234">
        <f t="shared" si="5"/>
        <v>31</v>
      </c>
      <c r="H63" s="122">
        <f t="shared" si="2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34">
        <f>YEAR(Table5[[#This Row],[Date]])+IF(MONTH(Table5[[#This Row],[Date]])&gt;=4,1,0)</f>
        <v>2026</v>
      </c>
      <c r="B64" s="234"/>
      <c r="C64" s="234">
        <f>YEAR(Table5[[#This Row],[Date]])</f>
        <v>2025</v>
      </c>
      <c r="D64" s="234"/>
      <c r="E64" s="234"/>
      <c r="F64" s="235" t="str">
        <f>TEXT(Table5[[#This Row],[Date]],"mmm-yy")</f>
        <v>May-25</v>
      </c>
      <c r="G64" s="234">
        <f t="shared" si="5"/>
        <v>31</v>
      </c>
      <c r="H64" s="122">
        <f t="shared" si="2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34">
        <f>YEAR(Table5[[#This Row],[Date]])+IF(MONTH(Table5[[#This Row],[Date]])&gt;=4,1,0)</f>
        <v>2026</v>
      </c>
      <c r="B65" s="234"/>
      <c r="C65" s="234">
        <f>YEAR(Table5[[#This Row],[Date]])</f>
        <v>2025</v>
      </c>
      <c r="D65" s="234"/>
      <c r="E65" s="234"/>
      <c r="F65" s="235" t="str">
        <f>TEXT(Table5[[#This Row],[Date]],"mmm-yy")</f>
        <v>May-25</v>
      </c>
      <c r="G65" s="234">
        <f t="shared" si="5"/>
        <v>31</v>
      </c>
      <c r="H65" s="122">
        <f t="shared" si="2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34">
        <f>YEAR(Table5[[#This Row],[Date]])+IF(MONTH(Table5[[#This Row],[Date]])&gt;=4,1,0)</f>
        <v>2026</v>
      </c>
      <c r="B66" s="234"/>
      <c r="C66" s="234">
        <f>YEAR(Table5[[#This Row],[Date]])</f>
        <v>2025</v>
      </c>
      <c r="D66" s="234"/>
      <c r="E66" s="234"/>
      <c r="F66" s="235" t="str">
        <f>TEXT(Table5[[#This Row],[Date]],"mmm-yy")</f>
        <v>Jun-25</v>
      </c>
      <c r="G66" s="234">
        <f t="shared" si="5"/>
        <v>30</v>
      </c>
      <c r="H66" s="122">
        <f t="shared" si="2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34">
        <f>YEAR(Table5[[#This Row],[Date]])+IF(MONTH(Table5[[#This Row],[Date]])&gt;=4,1,0)</f>
        <v>2026</v>
      </c>
      <c r="B67" s="234"/>
      <c r="C67" s="234">
        <f>YEAR(Table5[[#This Row],[Date]])</f>
        <v>2025</v>
      </c>
      <c r="D67" s="234"/>
      <c r="E67" s="234"/>
      <c r="F67" s="235" t="str">
        <f>TEXT(Table5[[#This Row],[Date]],"mmm-yy")</f>
        <v>Jun-25</v>
      </c>
      <c r="G67" s="234">
        <f t="shared" si="5"/>
        <v>30</v>
      </c>
      <c r="H67" s="122">
        <f t="shared" si="2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34">
        <f>YEAR(Table5[[#This Row],[Date]])+IF(MONTH(Table5[[#This Row],[Date]])&gt;=4,1,0)</f>
        <v>2026</v>
      </c>
      <c r="B68" s="234"/>
      <c r="C68" s="234">
        <f>YEAR(Table5[[#This Row],[Date]])</f>
        <v>2025</v>
      </c>
      <c r="D68" s="234"/>
      <c r="E68" s="234"/>
      <c r="F68" s="235" t="str">
        <f>TEXT(Table5[[#This Row],[Date]],"mmm-yy")</f>
        <v>Jun-25</v>
      </c>
      <c r="G68" s="234">
        <f t="shared" si="5"/>
        <v>30</v>
      </c>
      <c r="H68" s="122">
        <f t="shared" si="2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34">
        <f>YEAR(Table5[[#This Row],[Date]])+IF(MONTH(Table5[[#This Row],[Date]])&gt;=4,1,0)</f>
        <v>2026</v>
      </c>
      <c r="B69" s="234"/>
      <c r="C69" s="234">
        <f>YEAR(Table5[[#This Row],[Date]])</f>
        <v>2025</v>
      </c>
      <c r="D69" s="234"/>
      <c r="E69" s="234"/>
      <c r="F69" s="235" t="str">
        <f>TEXT(Table5[[#This Row],[Date]],"mmm-yy")</f>
        <v>Jun-25</v>
      </c>
      <c r="G69" s="234">
        <f t="shared" si="5"/>
        <v>30</v>
      </c>
      <c r="H69" s="122">
        <f t="shared" ref="H69:H132" si="6">H68+1</f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34">
        <f>YEAR(Table5[[#This Row],[Date]])+IF(MONTH(Table5[[#This Row],[Date]])&gt;=4,1,0)</f>
        <v>2026</v>
      </c>
      <c r="B70" s="234"/>
      <c r="C70" s="234">
        <f>YEAR(Table5[[#This Row],[Date]])</f>
        <v>2025</v>
      </c>
      <c r="D70" s="234"/>
      <c r="E70" s="234"/>
      <c r="F70" s="235" t="str">
        <f>TEXT(Table5[[#This Row],[Date]],"mmm-yy")</f>
        <v>Jun-25</v>
      </c>
      <c r="G70" s="234">
        <f t="shared" si="5"/>
        <v>30</v>
      </c>
      <c r="H70" s="122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34">
        <f>YEAR(Table5[[#This Row],[Date]])+IF(MONTH(Table5[[#This Row],[Date]])&gt;=4,1,0)</f>
        <v>2026</v>
      </c>
      <c r="B71" s="234"/>
      <c r="C71" s="234">
        <f>YEAR(Table5[[#This Row],[Date]])</f>
        <v>2025</v>
      </c>
      <c r="D71" s="234"/>
      <c r="E71" s="234"/>
      <c r="F71" s="235" t="str">
        <f>TEXT(Table5[[#This Row],[Date]],"mmm-yy")</f>
        <v>Jun-25</v>
      </c>
      <c r="G71" s="234">
        <f t="shared" si="5"/>
        <v>30</v>
      </c>
      <c r="H71" s="122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34">
        <f>YEAR(Table5[[#This Row],[Date]])+IF(MONTH(Table5[[#This Row],[Date]])&gt;=4,1,0)</f>
        <v>2026</v>
      </c>
      <c r="B72" s="234"/>
      <c r="C72" s="234">
        <f>YEAR(Table5[[#This Row],[Date]])</f>
        <v>2025</v>
      </c>
      <c r="D72" s="234"/>
      <c r="E72" s="234"/>
      <c r="F72" s="235" t="str">
        <f>TEXT(Table5[[#This Row],[Date]],"mmm-yy")</f>
        <v>Jun-25</v>
      </c>
      <c r="G72" s="234">
        <f t="shared" si="5"/>
        <v>30</v>
      </c>
      <c r="H72" s="122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34">
        <f>YEAR(Table5[[#This Row],[Date]])+IF(MONTH(Table5[[#This Row],[Date]])&gt;=4,1,0)</f>
        <v>2026</v>
      </c>
      <c r="B73" s="234"/>
      <c r="C73" s="234">
        <f>YEAR(Table5[[#This Row],[Date]])</f>
        <v>2025</v>
      </c>
      <c r="D73" s="234"/>
      <c r="E73" s="234"/>
      <c r="F73" s="235" t="str">
        <f>TEXT(Table5[[#This Row],[Date]],"mmm-yy")</f>
        <v>Jun-25</v>
      </c>
      <c r="G73" s="234">
        <f t="shared" si="5"/>
        <v>30</v>
      </c>
      <c r="H73" s="122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34">
        <f>YEAR(Table5[[#This Row],[Date]])+IF(MONTH(Table5[[#This Row],[Date]])&gt;=4,1,0)</f>
        <v>2026</v>
      </c>
      <c r="B74" s="234"/>
      <c r="C74" s="234">
        <f>YEAR(Table5[[#This Row],[Date]])</f>
        <v>2025</v>
      </c>
      <c r="D74" s="234"/>
      <c r="E74" s="234"/>
      <c r="F74" s="235" t="str">
        <f>TEXT(Table5[[#This Row],[Date]],"mmm-yy")</f>
        <v>Jun-25</v>
      </c>
      <c r="G74" s="234">
        <f t="shared" si="5"/>
        <v>30</v>
      </c>
      <c r="H74" s="122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34">
        <f>YEAR(Table5[[#This Row],[Date]])+IF(MONTH(Table5[[#This Row],[Date]])&gt;=4,1,0)</f>
        <v>2026</v>
      </c>
      <c r="B75" s="234"/>
      <c r="C75" s="234">
        <f>YEAR(Table5[[#This Row],[Date]])</f>
        <v>2025</v>
      </c>
      <c r="D75" s="234"/>
      <c r="E75" s="234"/>
      <c r="F75" s="235" t="str">
        <f>TEXT(Table5[[#This Row],[Date]],"mmm-yy")</f>
        <v>Jun-25</v>
      </c>
      <c r="G75" s="234">
        <f t="shared" si="5"/>
        <v>30</v>
      </c>
      <c r="H75" s="122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34">
        <f>YEAR(Table5[[#This Row],[Date]])+IF(MONTH(Table5[[#This Row],[Date]])&gt;=4,1,0)</f>
        <v>2026</v>
      </c>
      <c r="B76" s="234"/>
      <c r="C76" s="234">
        <f>YEAR(Table5[[#This Row],[Date]])</f>
        <v>2025</v>
      </c>
      <c r="D76" s="234"/>
      <c r="E76" s="234"/>
      <c r="F76" s="235" t="str">
        <f>TEXT(Table5[[#This Row],[Date]],"mmm-yy")</f>
        <v>Jun-25</v>
      </c>
      <c r="G76" s="234">
        <f t="shared" si="5"/>
        <v>30</v>
      </c>
      <c r="H76" s="122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34">
        <f>YEAR(Table5[[#This Row],[Date]])+IF(MONTH(Table5[[#This Row],[Date]])&gt;=4,1,0)</f>
        <v>2026</v>
      </c>
      <c r="B77" s="234"/>
      <c r="C77" s="234">
        <f>YEAR(Table5[[#This Row],[Date]])</f>
        <v>2025</v>
      </c>
      <c r="D77" s="234"/>
      <c r="E77" s="234"/>
      <c r="F77" s="235" t="str">
        <f>TEXT(Table5[[#This Row],[Date]],"mmm-yy")</f>
        <v>Jun-25</v>
      </c>
      <c r="G77" s="234">
        <f t="shared" si="5"/>
        <v>30</v>
      </c>
      <c r="H77" s="122">
        <f t="shared" si="6"/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34">
        <f>YEAR(Table5[[#This Row],[Date]])+IF(MONTH(Table5[[#This Row],[Date]])&gt;=4,1,0)</f>
        <v>2026</v>
      </c>
      <c r="B78" s="234"/>
      <c r="C78" s="234">
        <f>YEAR(Table5[[#This Row],[Date]])</f>
        <v>2025</v>
      </c>
      <c r="D78" s="234"/>
      <c r="E78" s="234"/>
      <c r="F78" s="235" t="str">
        <f>TEXT(Table5[[#This Row],[Date]],"mmm-yy")</f>
        <v>Jun-25</v>
      </c>
      <c r="G78" s="234">
        <f t="shared" si="5"/>
        <v>30</v>
      </c>
      <c r="H78" s="122">
        <f t="shared" si="6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34">
        <f>YEAR(Table5[[#This Row],[Date]])+IF(MONTH(Table5[[#This Row],[Date]])&gt;=4,1,0)</f>
        <v>2026</v>
      </c>
      <c r="B79" s="234"/>
      <c r="C79" s="234">
        <f>YEAR(Table5[[#This Row],[Date]])</f>
        <v>2025</v>
      </c>
      <c r="D79" s="234"/>
      <c r="E79" s="234"/>
      <c r="F79" s="235" t="str">
        <f>TEXT(Table5[[#This Row],[Date]],"mmm-yy")</f>
        <v>Jun-25</v>
      </c>
      <c r="G79" s="234">
        <f t="shared" si="5"/>
        <v>30</v>
      </c>
      <c r="H79" s="122">
        <f t="shared" si="6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34">
        <f>YEAR(Table5[[#This Row],[Date]])+IF(MONTH(Table5[[#This Row],[Date]])&gt;=4,1,0)</f>
        <v>2026</v>
      </c>
      <c r="B80" s="234"/>
      <c r="C80" s="234">
        <f>YEAR(Table5[[#This Row],[Date]])</f>
        <v>2025</v>
      </c>
      <c r="D80" s="234"/>
      <c r="E80" s="234"/>
      <c r="F80" s="235" t="str">
        <f>TEXT(Table5[[#This Row],[Date]],"mmm-yy")</f>
        <v>Jun-25</v>
      </c>
      <c r="G80" s="234">
        <f t="shared" si="5"/>
        <v>30</v>
      </c>
      <c r="H80" s="122">
        <f t="shared" si="6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34">
        <f>YEAR(Table5[[#This Row],[Date]])+IF(MONTH(Table5[[#This Row],[Date]])&gt;=4,1,0)</f>
        <v>2026</v>
      </c>
      <c r="B81" s="234"/>
      <c r="C81" s="234">
        <f>YEAR(Table5[[#This Row],[Date]])</f>
        <v>2025</v>
      </c>
      <c r="D81" s="234"/>
      <c r="E81" s="234"/>
      <c r="F81" s="235" t="str">
        <f>TEXT(Table5[[#This Row],[Date]],"mmm-yy")</f>
        <v>Jun-25</v>
      </c>
      <c r="G81" s="234">
        <f t="shared" si="5"/>
        <v>30</v>
      </c>
      <c r="H81" s="122">
        <f t="shared" si="6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34">
        <f>YEAR(Table5[[#This Row],[Date]])+IF(MONTH(Table5[[#This Row],[Date]])&gt;=4,1,0)</f>
        <v>2026</v>
      </c>
      <c r="B82" s="234"/>
      <c r="C82" s="234">
        <f>YEAR(Table5[[#This Row],[Date]])</f>
        <v>2025</v>
      </c>
      <c r="D82" s="234"/>
      <c r="E82" s="234"/>
      <c r="F82" s="235" t="str">
        <f>TEXT(Table5[[#This Row],[Date]],"mmm-yy")</f>
        <v>Jun-25</v>
      </c>
      <c r="G82" s="234">
        <f t="shared" si="5"/>
        <v>30</v>
      </c>
      <c r="H82" s="122">
        <f t="shared" si="6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34">
        <f>YEAR(Table5[[#This Row],[Date]])+IF(MONTH(Table5[[#This Row],[Date]])&gt;=4,1,0)</f>
        <v>2026</v>
      </c>
      <c r="B83" s="234"/>
      <c r="C83" s="234">
        <f>YEAR(Table5[[#This Row],[Date]])</f>
        <v>2025</v>
      </c>
      <c r="D83" s="234"/>
      <c r="E83" s="234"/>
      <c r="F83" s="235" t="str">
        <f>TEXT(Table5[[#This Row],[Date]],"mmm-yy")</f>
        <v>Jun-25</v>
      </c>
      <c r="G83" s="234">
        <f t="shared" si="5"/>
        <v>30</v>
      </c>
      <c r="H83" s="122">
        <f t="shared" si="6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34">
        <f>YEAR(Table5[[#This Row],[Date]])+IF(MONTH(Table5[[#This Row],[Date]])&gt;=4,1,0)</f>
        <v>2026</v>
      </c>
      <c r="B84" s="234"/>
      <c r="C84" s="234">
        <f>YEAR(Table5[[#This Row],[Date]])</f>
        <v>2025</v>
      </c>
      <c r="D84" s="234"/>
      <c r="E84" s="234"/>
      <c r="F84" s="235" t="str">
        <f>TEXT(Table5[[#This Row],[Date]],"mmm-yy")</f>
        <v>Jun-25</v>
      </c>
      <c r="G84" s="234">
        <f t="shared" si="5"/>
        <v>30</v>
      </c>
      <c r="H84" s="122">
        <f t="shared" si="6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34">
        <f>YEAR(Table5[[#This Row],[Date]])+IF(MONTH(Table5[[#This Row],[Date]])&gt;=4,1,0)</f>
        <v>2026</v>
      </c>
      <c r="B85" s="234"/>
      <c r="C85" s="234">
        <f>YEAR(Table5[[#This Row],[Date]])</f>
        <v>2025</v>
      </c>
      <c r="D85" s="234"/>
      <c r="E85" s="234"/>
      <c r="F85" s="235" t="str">
        <f>TEXT(Table5[[#This Row],[Date]],"mmm-yy")</f>
        <v>Jun-25</v>
      </c>
      <c r="G85" s="234">
        <f t="shared" si="5"/>
        <v>30</v>
      </c>
      <c r="H85" s="122">
        <f t="shared" si="6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34">
        <f>YEAR(Table5[[#This Row],[Date]])+IF(MONTH(Table5[[#This Row],[Date]])&gt;=4,1,0)</f>
        <v>2026</v>
      </c>
      <c r="B86" s="234"/>
      <c r="C86" s="234">
        <f>YEAR(Table5[[#This Row],[Date]])</f>
        <v>2025</v>
      </c>
      <c r="D86" s="234"/>
      <c r="E86" s="234"/>
      <c r="F86" s="235" t="str">
        <f>TEXT(Table5[[#This Row],[Date]],"mmm-yy")</f>
        <v>Jun-25</v>
      </c>
      <c r="G86" s="234">
        <f t="shared" si="5"/>
        <v>30</v>
      </c>
      <c r="H86" s="122">
        <f t="shared" si="6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34">
        <f>YEAR(Table5[[#This Row],[Date]])+IF(MONTH(Table5[[#This Row],[Date]])&gt;=4,1,0)</f>
        <v>2026</v>
      </c>
      <c r="B87" s="234"/>
      <c r="C87" s="234">
        <f>YEAR(Table5[[#This Row],[Date]])</f>
        <v>2025</v>
      </c>
      <c r="D87" s="234"/>
      <c r="E87" s="234"/>
      <c r="F87" s="235" t="str">
        <f>TEXT(Table5[[#This Row],[Date]],"mmm-yy")</f>
        <v>Jun-25</v>
      </c>
      <c r="G87" s="234">
        <f t="shared" si="5"/>
        <v>30</v>
      </c>
      <c r="H87" s="122">
        <f t="shared" si="6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34">
        <f>YEAR(Table5[[#This Row],[Date]])+IF(MONTH(Table5[[#This Row],[Date]])&gt;=4,1,0)</f>
        <v>2026</v>
      </c>
      <c r="B88" s="234"/>
      <c r="C88" s="234">
        <f>YEAR(Table5[[#This Row],[Date]])</f>
        <v>2025</v>
      </c>
      <c r="D88" s="234"/>
      <c r="E88" s="234"/>
      <c r="F88" s="235" t="str">
        <f>TEXT(Table5[[#This Row],[Date]],"mmm-yy")</f>
        <v>Jun-25</v>
      </c>
      <c r="G88" s="234">
        <f t="shared" si="5"/>
        <v>30</v>
      </c>
      <c r="H88" s="122">
        <f t="shared" si="6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34">
        <f>YEAR(Table5[[#This Row],[Date]])+IF(MONTH(Table5[[#This Row],[Date]])&gt;=4,1,0)</f>
        <v>2026</v>
      </c>
      <c r="B89" s="234"/>
      <c r="C89" s="234">
        <f>YEAR(Table5[[#This Row],[Date]])</f>
        <v>2025</v>
      </c>
      <c r="D89" s="234"/>
      <c r="E89" s="234"/>
      <c r="F89" s="235" t="str">
        <f>TEXT(Table5[[#This Row],[Date]],"mmm-yy")</f>
        <v>Jun-25</v>
      </c>
      <c r="G89" s="234">
        <f t="shared" si="5"/>
        <v>30</v>
      </c>
      <c r="H89" s="122">
        <f t="shared" si="6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34">
        <f>YEAR(Table5[[#This Row],[Date]])+IF(MONTH(Table5[[#This Row],[Date]])&gt;=4,1,0)</f>
        <v>2026</v>
      </c>
      <c r="B90" s="234"/>
      <c r="C90" s="234">
        <f>YEAR(Table5[[#This Row],[Date]])</f>
        <v>2025</v>
      </c>
      <c r="D90" s="234"/>
      <c r="E90" s="234"/>
      <c r="F90" s="235" t="str">
        <f>TEXT(Table5[[#This Row],[Date]],"mmm-yy")</f>
        <v>Jun-25</v>
      </c>
      <c r="G90" s="234">
        <f t="shared" si="5"/>
        <v>30</v>
      </c>
      <c r="H90" s="122">
        <f t="shared" si="6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34">
        <f>YEAR(Table5[[#This Row],[Date]])+IF(MONTH(Table5[[#This Row],[Date]])&gt;=4,1,0)</f>
        <v>2026</v>
      </c>
      <c r="B91" s="234"/>
      <c r="C91" s="234">
        <f>YEAR(Table5[[#This Row],[Date]])</f>
        <v>2025</v>
      </c>
      <c r="D91" s="234"/>
      <c r="E91" s="234"/>
      <c r="F91" s="235" t="str">
        <f>TEXT(Table5[[#This Row],[Date]],"mmm-yy")</f>
        <v>Jun-25</v>
      </c>
      <c r="G91" s="234">
        <f t="shared" si="5"/>
        <v>30</v>
      </c>
      <c r="H91" s="122">
        <f t="shared" si="6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34">
        <f>YEAR(Table5[[#This Row],[Date]])+IF(MONTH(Table5[[#This Row],[Date]])&gt;=4,1,0)</f>
        <v>2026</v>
      </c>
      <c r="B92" s="234"/>
      <c r="C92" s="234">
        <f>YEAR(Table5[[#This Row],[Date]])</f>
        <v>2025</v>
      </c>
      <c r="D92" s="234"/>
      <c r="E92" s="234"/>
      <c r="F92" s="235" t="str">
        <f>TEXT(Table5[[#This Row],[Date]],"mmm-yy")</f>
        <v>Jun-25</v>
      </c>
      <c r="G92" s="234">
        <f t="shared" si="5"/>
        <v>30</v>
      </c>
      <c r="H92" s="122">
        <f t="shared" si="6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34">
        <f>YEAR(Table5[[#This Row],[Date]])+IF(MONTH(Table5[[#This Row],[Date]])&gt;=4,1,0)</f>
        <v>2026</v>
      </c>
      <c r="B93" s="234"/>
      <c r="C93" s="234">
        <f>YEAR(Table5[[#This Row],[Date]])</f>
        <v>2025</v>
      </c>
      <c r="D93" s="234"/>
      <c r="E93" s="234"/>
      <c r="F93" s="235" t="str">
        <f>TEXT(Table5[[#This Row],[Date]],"mmm-yy")</f>
        <v>Jun-25</v>
      </c>
      <c r="G93" s="234">
        <f t="shared" si="5"/>
        <v>30</v>
      </c>
      <c r="H93" s="122">
        <f t="shared" si="6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34">
        <f>YEAR(Table5[[#This Row],[Date]])+IF(MONTH(Table5[[#This Row],[Date]])&gt;=4,1,0)</f>
        <v>2026</v>
      </c>
      <c r="B94" s="234"/>
      <c r="C94" s="234">
        <f>YEAR(Table5[[#This Row],[Date]])</f>
        <v>2025</v>
      </c>
      <c r="D94" s="234"/>
      <c r="E94" s="234"/>
      <c r="F94" s="235" t="str">
        <f>TEXT(Table5[[#This Row],[Date]],"mmm-yy")</f>
        <v>Jun-25</v>
      </c>
      <c r="G94" s="234">
        <f t="shared" si="5"/>
        <v>30</v>
      </c>
      <c r="H94" s="122">
        <f t="shared" si="6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34">
        <f>YEAR(Table5[[#This Row],[Date]])+IF(MONTH(Table5[[#This Row],[Date]])&gt;=4,1,0)</f>
        <v>2026</v>
      </c>
      <c r="B95" s="234"/>
      <c r="C95" s="234">
        <f>YEAR(Table5[[#This Row],[Date]])</f>
        <v>2025</v>
      </c>
      <c r="D95" s="234"/>
      <c r="E95" s="234"/>
      <c r="F95" s="235" t="str">
        <f>TEXT(Table5[[#This Row],[Date]],"mmm-yy")</f>
        <v>Jun-25</v>
      </c>
      <c r="G95" s="234">
        <f t="shared" si="5"/>
        <v>30</v>
      </c>
      <c r="H95" s="122">
        <f t="shared" si="6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34">
        <f>YEAR(Table5[[#This Row],[Date]])+IF(MONTH(Table5[[#This Row],[Date]])&gt;=4,1,0)</f>
        <v>2026</v>
      </c>
      <c r="B96" s="234"/>
      <c r="C96" s="234">
        <f>YEAR(Table5[[#This Row],[Date]])</f>
        <v>2025</v>
      </c>
      <c r="D96" s="234"/>
      <c r="E96" s="234"/>
      <c r="F96" s="235" t="str">
        <f>TEXT(Table5[[#This Row],[Date]],"mmm-yy")</f>
        <v>Jul-25</v>
      </c>
      <c r="G96" s="234">
        <f t="shared" si="5"/>
        <v>31</v>
      </c>
      <c r="H96" s="122">
        <f t="shared" si="6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34">
        <f>YEAR(Table5[[#This Row],[Date]])+IF(MONTH(Table5[[#This Row],[Date]])&gt;=4,1,0)</f>
        <v>2026</v>
      </c>
      <c r="B97" s="234"/>
      <c r="C97" s="234">
        <f>YEAR(Table5[[#This Row],[Date]])</f>
        <v>2025</v>
      </c>
      <c r="D97" s="234"/>
      <c r="E97" s="234"/>
      <c r="F97" s="235" t="str">
        <f>TEXT(Table5[[#This Row],[Date]],"mmm-yy")</f>
        <v>Jul-25</v>
      </c>
      <c r="G97" s="234">
        <f t="shared" si="5"/>
        <v>31</v>
      </c>
      <c r="H97" s="122">
        <f t="shared" si="6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34">
        <f>YEAR(Table5[[#This Row],[Date]])+IF(MONTH(Table5[[#This Row],[Date]])&gt;=4,1,0)</f>
        <v>2026</v>
      </c>
      <c r="B98" s="234"/>
      <c r="C98" s="234">
        <f>YEAR(Table5[[#This Row],[Date]])</f>
        <v>2025</v>
      </c>
      <c r="D98" s="234"/>
      <c r="E98" s="234"/>
      <c r="F98" s="235" t="str">
        <f>TEXT(Table5[[#This Row],[Date]],"mmm-yy")</f>
        <v>Jul-25</v>
      </c>
      <c r="G98" s="234">
        <f t="shared" si="5"/>
        <v>31</v>
      </c>
      <c r="H98" s="122">
        <f t="shared" si="6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34">
        <f>YEAR(Table5[[#This Row],[Date]])+IF(MONTH(Table5[[#This Row],[Date]])&gt;=4,1,0)</f>
        <v>2026</v>
      </c>
      <c r="B99" s="234"/>
      <c r="C99" s="234">
        <f>YEAR(Table5[[#This Row],[Date]])</f>
        <v>2025</v>
      </c>
      <c r="D99" s="234"/>
      <c r="E99" s="234"/>
      <c r="F99" s="235" t="str">
        <f>TEXT(Table5[[#This Row],[Date]],"mmm-yy")</f>
        <v>Jul-25</v>
      </c>
      <c r="G99" s="234">
        <f t="shared" si="5"/>
        <v>31</v>
      </c>
      <c r="H99" s="122">
        <f t="shared" si="6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34">
        <f>YEAR(Table5[[#This Row],[Date]])+IF(MONTH(Table5[[#This Row],[Date]])&gt;=4,1,0)</f>
        <v>2026</v>
      </c>
      <c r="B100" s="234"/>
      <c r="C100" s="234">
        <f>YEAR(Table5[[#This Row],[Date]])</f>
        <v>2025</v>
      </c>
      <c r="D100" s="234"/>
      <c r="E100" s="234"/>
      <c r="F100" s="235" t="str">
        <f>TEXT(Table5[[#This Row],[Date]],"mmm-yy")</f>
        <v>Jul-25</v>
      </c>
      <c r="G100" s="234">
        <f t="shared" si="5"/>
        <v>31</v>
      </c>
      <c r="H100" s="122">
        <f t="shared" si="6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34">
        <f>YEAR(Table5[[#This Row],[Date]])+IF(MONTH(Table5[[#This Row],[Date]])&gt;=4,1,0)</f>
        <v>2026</v>
      </c>
      <c r="B101" s="234"/>
      <c r="C101" s="234">
        <f>YEAR(Table5[[#This Row],[Date]])</f>
        <v>2025</v>
      </c>
      <c r="D101" s="234"/>
      <c r="E101" s="234"/>
      <c r="F101" s="235" t="str">
        <f>TEXT(Table5[[#This Row],[Date]],"mmm-yy")</f>
        <v>Jul-25</v>
      </c>
      <c r="G101" s="234">
        <f t="shared" si="5"/>
        <v>31</v>
      </c>
      <c r="H101" s="122">
        <f t="shared" si="6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34">
        <f>YEAR(Table5[[#This Row],[Date]])+IF(MONTH(Table5[[#This Row],[Date]])&gt;=4,1,0)</f>
        <v>2026</v>
      </c>
      <c r="B102" s="234"/>
      <c r="C102" s="234">
        <f>YEAR(Table5[[#This Row],[Date]])</f>
        <v>2025</v>
      </c>
      <c r="D102" s="234"/>
      <c r="E102" s="234"/>
      <c r="F102" s="235" t="str">
        <f>TEXT(Table5[[#This Row],[Date]],"mmm-yy")</f>
        <v>Jul-25</v>
      </c>
      <c r="G102" s="234">
        <f t="shared" si="5"/>
        <v>31</v>
      </c>
      <c r="H102" s="122">
        <f t="shared" si="6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34">
        <f>YEAR(Table5[[#This Row],[Date]])+IF(MONTH(Table5[[#This Row],[Date]])&gt;=4,1,0)</f>
        <v>2026</v>
      </c>
      <c r="B103" s="234"/>
      <c r="C103" s="234">
        <f>YEAR(Table5[[#This Row],[Date]])</f>
        <v>2025</v>
      </c>
      <c r="D103" s="234"/>
      <c r="E103" s="234"/>
      <c r="F103" s="235" t="str">
        <f>TEXT(Table5[[#This Row],[Date]],"mmm-yy")</f>
        <v>Jul-25</v>
      </c>
      <c r="G103" s="234">
        <f t="shared" si="5"/>
        <v>31</v>
      </c>
      <c r="H103" s="122">
        <f t="shared" si="6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34">
        <f>YEAR(Table5[[#This Row],[Date]])+IF(MONTH(Table5[[#This Row],[Date]])&gt;=4,1,0)</f>
        <v>2026</v>
      </c>
      <c r="B104" s="234"/>
      <c r="C104" s="234">
        <f>YEAR(Table5[[#This Row],[Date]])</f>
        <v>2025</v>
      </c>
      <c r="D104" s="234"/>
      <c r="E104" s="234"/>
      <c r="F104" s="235" t="str">
        <f>TEXT(Table5[[#This Row],[Date]],"mmm-yy")</f>
        <v>Jul-25</v>
      </c>
      <c r="G104" s="234">
        <f t="shared" si="5"/>
        <v>31</v>
      </c>
      <c r="H104" s="122">
        <f t="shared" si="6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34">
        <f>YEAR(Table5[[#This Row],[Date]])+IF(MONTH(Table5[[#This Row],[Date]])&gt;=4,1,0)</f>
        <v>2026</v>
      </c>
      <c r="B105" s="234"/>
      <c r="C105" s="234">
        <f>YEAR(Table5[[#This Row],[Date]])</f>
        <v>2025</v>
      </c>
      <c r="D105" s="234"/>
      <c r="E105" s="234"/>
      <c r="F105" s="235" t="str">
        <f>TEXT(Table5[[#This Row],[Date]],"mmm-yy")</f>
        <v>Jul-25</v>
      </c>
      <c r="G105" s="234">
        <f t="shared" si="5"/>
        <v>31</v>
      </c>
      <c r="H105" s="122">
        <f t="shared" si="6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34">
        <f>YEAR(Table5[[#This Row],[Date]])+IF(MONTH(Table5[[#This Row],[Date]])&gt;=4,1,0)</f>
        <v>2026</v>
      </c>
      <c r="B106" s="234"/>
      <c r="C106" s="234">
        <f>YEAR(Table5[[#This Row],[Date]])</f>
        <v>2025</v>
      </c>
      <c r="D106" s="234"/>
      <c r="E106" s="234"/>
      <c r="F106" s="235" t="str">
        <f>TEXT(Table5[[#This Row],[Date]],"mmm-yy")</f>
        <v>Jul-25</v>
      </c>
      <c r="G106" s="234">
        <f t="shared" si="5"/>
        <v>31</v>
      </c>
      <c r="H106" s="122">
        <f t="shared" si="6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34">
        <f>YEAR(Table5[[#This Row],[Date]])+IF(MONTH(Table5[[#This Row],[Date]])&gt;=4,1,0)</f>
        <v>2026</v>
      </c>
      <c r="B107" s="234"/>
      <c r="C107" s="234">
        <f>YEAR(Table5[[#This Row],[Date]])</f>
        <v>2025</v>
      </c>
      <c r="D107" s="234"/>
      <c r="E107" s="234"/>
      <c r="F107" s="235" t="str">
        <f>TEXT(Table5[[#This Row],[Date]],"mmm-yy")</f>
        <v>Jul-25</v>
      </c>
      <c r="G107" s="234">
        <f t="shared" si="5"/>
        <v>31</v>
      </c>
      <c r="H107" s="122">
        <f t="shared" si="6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34">
        <f>YEAR(Table5[[#This Row],[Date]])+IF(MONTH(Table5[[#This Row],[Date]])&gt;=4,1,0)</f>
        <v>2026</v>
      </c>
      <c r="B108" s="234"/>
      <c r="C108" s="234">
        <f>YEAR(Table5[[#This Row],[Date]])</f>
        <v>2025</v>
      </c>
      <c r="D108" s="234"/>
      <c r="E108" s="234"/>
      <c r="F108" s="235" t="str">
        <f>TEXT(Table5[[#This Row],[Date]],"mmm-yy")</f>
        <v>Jul-25</v>
      </c>
      <c r="G108" s="234">
        <f t="shared" si="5"/>
        <v>31</v>
      </c>
      <c r="H108" s="122">
        <f t="shared" si="6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34">
        <f>YEAR(Table5[[#This Row],[Date]])+IF(MONTH(Table5[[#This Row],[Date]])&gt;=4,1,0)</f>
        <v>2026</v>
      </c>
      <c r="B109" s="234"/>
      <c r="C109" s="234">
        <f>YEAR(Table5[[#This Row],[Date]])</f>
        <v>2025</v>
      </c>
      <c r="D109" s="234"/>
      <c r="E109" s="234"/>
      <c r="F109" s="235" t="str">
        <f>TEXT(Table5[[#This Row],[Date]],"mmm-yy")</f>
        <v>Jul-25</v>
      </c>
      <c r="G109" s="234">
        <f t="shared" ref="G109:G172" si="7">DAY(EOMONTH(F109,0))</f>
        <v>31</v>
      </c>
      <c r="H109" s="122">
        <f t="shared" si="6"/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34">
        <f>YEAR(Table5[[#This Row],[Date]])+IF(MONTH(Table5[[#This Row],[Date]])&gt;=4,1,0)</f>
        <v>2026</v>
      </c>
      <c r="B110" s="234"/>
      <c r="C110" s="234">
        <f>YEAR(Table5[[#This Row],[Date]])</f>
        <v>2025</v>
      </c>
      <c r="D110" s="234"/>
      <c r="E110" s="234"/>
      <c r="F110" s="235" t="str">
        <f>TEXT(Table5[[#This Row],[Date]],"mmm-yy")</f>
        <v>Jul-25</v>
      </c>
      <c r="G110" s="234">
        <f t="shared" si="7"/>
        <v>31</v>
      </c>
      <c r="H110" s="122">
        <f t="shared" si="6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34">
        <f>YEAR(Table5[[#This Row],[Date]])+IF(MONTH(Table5[[#This Row],[Date]])&gt;=4,1,0)</f>
        <v>2026</v>
      </c>
      <c r="B111" s="234"/>
      <c r="C111" s="234">
        <f>YEAR(Table5[[#This Row],[Date]])</f>
        <v>2025</v>
      </c>
      <c r="D111" s="234"/>
      <c r="E111" s="234"/>
      <c r="F111" s="235" t="str">
        <f>TEXT(Table5[[#This Row],[Date]],"mmm-yy")</f>
        <v>Jul-25</v>
      </c>
      <c r="G111" s="234">
        <f t="shared" si="7"/>
        <v>31</v>
      </c>
      <c r="H111" s="122">
        <f t="shared" si="6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34">
        <f>YEAR(Table5[[#This Row],[Date]])+IF(MONTH(Table5[[#This Row],[Date]])&gt;=4,1,0)</f>
        <v>2026</v>
      </c>
      <c r="B112" s="234"/>
      <c r="C112" s="234">
        <f>YEAR(Table5[[#This Row],[Date]])</f>
        <v>2025</v>
      </c>
      <c r="D112" s="234"/>
      <c r="E112" s="234"/>
      <c r="F112" s="235" t="str">
        <f>TEXT(Table5[[#This Row],[Date]],"mmm-yy")</f>
        <v>Jul-25</v>
      </c>
      <c r="G112" s="234">
        <f t="shared" si="7"/>
        <v>31</v>
      </c>
      <c r="H112" s="122">
        <f t="shared" si="6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34">
        <f>YEAR(Table5[[#This Row],[Date]])+IF(MONTH(Table5[[#This Row],[Date]])&gt;=4,1,0)</f>
        <v>2026</v>
      </c>
      <c r="B113" s="234"/>
      <c r="C113" s="234">
        <f>YEAR(Table5[[#This Row],[Date]])</f>
        <v>2025</v>
      </c>
      <c r="D113" s="234"/>
      <c r="E113" s="234"/>
      <c r="F113" s="235" t="str">
        <f>TEXT(Table5[[#This Row],[Date]],"mmm-yy")</f>
        <v>Jul-25</v>
      </c>
      <c r="G113" s="234">
        <f t="shared" si="7"/>
        <v>31</v>
      </c>
      <c r="H113" s="122">
        <f t="shared" si="6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34">
        <f>YEAR(Table5[[#This Row],[Date]])+IF(MONTH(Table5[[#This Row],[Date]])&gt;=4,1,0)</f>
        <v>2026</v>
      </c>
      <c r="B114" s="234"/>
      <c r="C114" s="234">
        <f>YEAR(Table5[[#This Row],[Date]])</f>
        <v>2025</v>
      </c>
      <c r="D114" s="234"/>
      <c r="E114" s="234"/>
      <c r="F114" s="235" t="str">
        <f>TEXT(Table5[[#This Row],[Date]],"mmm-yy")</f>
        <v>Jul-25</v>
      </c>
      <c r="G114" s="234">
        <f t="shared" si="7"/>
        <v>31</v>
      </c>
      <c r="H114" s="122">
        <f t="shared" si="6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34">
        <f>YEAR(Table5[[#This Row],[Date]])+IF(MONTH(Table5[[#This Row],[Date]])&gt;=4,1,0)</f>
        <v>2026</v>
      </c>
      <c r="B115" s="234"/>
      <c r="C115" s="234">
        <f>YEAR(Table5[[#This Row],[Date]])</f>
        <v>2025</v>
      </c>
      <c r="D115" s="234"/>
      <c r="E115" s="234"/>
      <c r="F115" s="235" t="str">
        <f>TEXT(Table5[[#This Row],[Date]],"mmm-yy")</f>
        <v>Jul-25</v>
      </c>
      <c r="G115" s="234">
        <f t="shared" si="7"/>
        <v>31</v>
      </c>
      <c r="H115" s="122">
        <f t="shared" si="6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34">
        <f>YEAR(Table5[[#This Row],[Date]])+IF(MONTH(Table5[[#This Row],[Date]])&gt;=4,1,0)</f>
        <v>2026</v>
      </c>
      <c r="B116" s="234"/>
      <c r="C116" s="234">
        <f>YEAR(Table5[[#This Row],[Date]])</f>
        <v>2025</v>
      </c>
      <c r="D116" s="234"/>
      <c r="E116" s="234"/>
      <c r="F116" s="235" t="str">
        <f>TEXT(Table5[[#This Row],[Date]],"mmm-yy")</f>
        <v>Jul-25</v>
      </c>
      <c r="G116" s="234">
        <f t="shared" si="7"/>
        <v>31</v>
      </c>
      <c r="H116" s="122">
        <f t="shared" si="6"/>
        <v>45859</v>
      </c>
      <c r="I116" s="55">
        <v>8.02</v>
      </c>
      <c r="J116" s="59" t="str">
        <f>IFERROR(Inv_SY!J118/Inv_SY!$Y118-1,"")</f>
        <v/>
      </c>
      <c r="K116" s="59" t="str">
        <f>IFERROR(Inv_SY!K118/Inv_SY!$Y118-1,"")</f>
        <v/>
      </c>
      <c r="L116" s="59" t="str">
        <f>IFERROR(Inv_SY!L118/Inv_SY!$Y118-1,"")</f>
        <v/>
      </c>
      <c r="M116" s="59" t="str">
        <f>IFERROR(Inv_SY!M118/Inv_SY!$Y118-1,"")</f>
        <v/>
      </c>
      <c r="N116" s="59" t="str">
        <f>IFERROR(Inv_SY!N118/Inv_SY!$Y118-1,"")</f>
        <v/>
      </c>
      <c r="O116" s="59" t="str">
        <f>IFERROR(Inv_SY!O118/Inv_SY!$Y118-1,"")</f>
        <v/>
      </c>
      <c r="P116" s="59" t="str">
        <f>IFERROR(Inv_SY!P118/Inv_SY!$Y118-1,"")</f>
        <v/>
      </c>
      <c r="Q116" s="59" t="str">
        <f>IFERROR(Inv_SY!Q118/Inv_SY!$Y118-1,"")</f>
        <v/>
      </c>
      <c r="R116" s="59" t="str">
        <f>IFERROR(Inv_SY!R118/Inv_SY!$Y118-1,"")</f>
        <v/>
      </c>
      <c r="S116" s="59" t="str">
        <f>IFERROR(Inv_SY!S118/Inv_SY!$Y118-1,"")</f>
        <v/>
      </c>
      <c r="T116" s="59" t="str">
        <f>IFERROR(Inv_SY!T118/Inv_SY!$Y118-1,"")</f>
        <v/>
      </c>
      <c r="U116" s="59" t="str">
        <f>IFERROR(Inv_SY!U118/Inv_SY!$Y118-1,"")</f>
        <v/>
      </c>
      <c r="V116" s="59" t="str">
        <f>IFERROR(Inv_SY!J118/Inv_SY!$Z118-1,"")</f>
        <v/>
      </c>
      <c r="W116" s="59" t="str">
        <f>IFERROR(Inv_SY!K118/Inv_SY!$Z118-1,"")</f>
        <v/>
      </c>
      <c r="X116" s="59" t="str">
        <f>IFERROR(Inv_SY!L118/Inv_SY!$Z118-1,"")</f>
        <v/>
      </c>
      <c r="Y116" s="59" t="str">
        <f>IFERROR(Inv_SY!M118/Inv_SY!$Z118-1,"")</f>
        <v/>
      </c>
      <c r="Z116" s="59" t="str">
        <f>IFERROR(Inv_SY!N118/Inv_SY!$Z118-1,"")</f>
        <v/>
      </c>
      <c r="AA116" s="59" t="str">
        <f>IFERROR(Inv_SY!O118/Inv_SY!$Z118-1,"")</f>
        <v/>
      </c>
      <c r="AB116" s="59" t="str">
        <f>IFERROR(Inv_SY!P118/Inv_SY!$Z118-1,"")</f>
        <v/>
      </c>
      <c r="AC116" s="59" t="str">
        <f>IFERROR(Inv_SY!Q118/Inv_SY!$Z118-1,"")</f>
        <v/>
      </c>
      <c r="AD116" s="59" t="str">
        <f>IFERROR(Inv_SY!R118/Inv_SY!$Z118-1,"")</f>
        <v/>
      </c>
      <c r="AE116" s="59" t="str">
        <f>IFERROR(Inv_SY!S118/Inv_SY!$Z118-1,"")</f>
        <v/>
      </c>
      <c r="AF116" s="59" t="str">
        <f>IFERROR(Inv_SY!T118/Inv_SY!$Z118-1,"")</f>
        <v/>
      </c>
      <c r="AG116" s="59" t="str">
        <f>IFERROR(Inv_SY!U118/Inv_SY!$Z118-1,"")</f>
        <v/>
      </c>
      <c r="AH116" s="59" t="str">
        <f>IFERROR(Inv_SY!V118/Inv_SY!$Y118-1,"")</f>
        <v/>
      </c>
      <c r="AI116" s="59" t="str">
        <f>IFERROR(Inv_SY!W118/Inv_SY!$Y118-1,"")</f>
        <v/>
      </c>
      <c r="AJ116" s="59" t="str">
        <f>IFERROR(Inv_SY!X118/Inv_SY!$Y118-1,"")</f>
        <v/>
      </c>
      <c r="AK116" s="59" t="str">
        <f>IFERROR(Inv_SY!V118/Inv_SY!$Z118-1,"")</f>
        <v/>
      </c>
      <c r="AL116" s="59" t="str">
        <f>IFERROR(Inv_SY!W118/Inv_SY!$Z118-1,"")</f>
        <v/>
      </c>
      <c r="AM116" s="59" t="str">
        <f>IFERROR(Inv_SY!X118/Inv_SY!$Z118-1,"")</f>
        <v/>
      </c>
    </row>
    <row r="117" spans="1:39" x14ac:dyDescent="0.3">
      <c r="A117" s="234">
        <f>YEAR(Table5[[#This Row],[Date]])+IF(MONTH(Table5[[#This Row],[Date]])&gt;=4,1,0)</f>
        <v>2026</v>
      </c>
      <c r="B117" s="234"/>
      <c r="C117" s="234">
        <f>YEAR(Table5[[#This Row],[Date]])</f>
        <v>2025</v>
      </c>
      <c r="D117" s="234"/>
      <c r="E117" s="234"/>
      <c r="F117" s="235" t="str">
        <f>TEXT(Table5[[#This Row],[Date]],"mmm-yy")</f>
        <v>Jul-25</v>
      </c>
      <c r="G117" s="234">
        <f t="shared" si="7"/>
        <v>31</v>
      </c>
      <c r="H117" s="122">
        <f t="shared" si="6"/>
        <v>45860</v>
      </c>
      <c r="I117" s="55">
        <v>8.02</v>
      </c>
      <c r="J117" s="59" t="str">
        <f>IFERROR(Inv_SY!J119/Inv_SY!$Y119-1,"")</f>
        <v/>
      </c>
      <c r="K117" s="59" t="str">
        <f>IFERROR(Inv_SY!K119/Inv_SY!$Y119-1,"")</f>
        <v/>
      </c>
      <c r="L117" s="59" t="str">
        <f>IFERROR(Inv_SY!L119/Inv_SY!$Y119-1,"")</f>
        <v/>
      </c>
      <c r="M117" s="59" t="str">
        <f>IFERROR(Inv_SY!M119/Inv_SY!$Y119-1,"")</f>
        <v/>
      </c>
      <c r="N117" s="59" t="str">
        <f>IFERROR(Inv_SY!N119/Inv_SY!$Y119-1,"")</f>
        <v/>
      </c>
      <c r="O117" s="59" t="str">
        <f>IFERROR(Inv_SY!O119/Inv_SY!$Y119-1,"")</f>
        <v/>
      </c>
      <c r="P117" s="59" t="str">
        <f>IFERROR(Inv_SY!P119/Inv_SY!$Y119-1,"")</f>
        <v/>
      </c>
      <c r="Q117" s="59" t="str">
        <f>IFERROR(Inv_SY!Q119/Inv_SY!$Y119-1,"")</f>
        <v/>
      </c>
      <c r="R117" s="59" t="str">
        <f>IFERROR(Inv_SY!R119/Inv_SY!$Y119-1,"")</f>
        <v/>
      </c>
      <c r="S117" s="59" t="str">
        <f>IFERROR(Inv_SY!S119/Inv_SY!$Y119-1,"")</f>
        <v/>
      </c>
      <c r="T117" s="59" t="str">
        <f>IFERROR(Inv_SY!T119/Inv_SY!$Y119-1,"")</f>
        <v/>
      </c>
      <c r="U117" s="59" t="str">
        <f>IFERROR(Inv_SY!U119/Inv_SY!$Y119-1,"")</f>
        <v/>
      </c>
      <c r="V117" s="59" t="str">
        <f>IFERROR(Inv_SY!J119/Inv_SY!$Z119-1,"")</f>
        <v/>
      </c>
      <c r="W117" s="59" t="str">
        <f>IFERROR(Inv_SY!K119/Inv_SY!$Z119-1,"")</f>
        <v/>
      </c>
      <c r="X117" s="59" t="str">
        <f>IFERROR(Inv_SY!L119/Inv_SY!$Z119-1,"")</f>
        <v/>
      </c>
      <c r="Y117" s="59" t="str">
        <f>IFERROR(Inv_SY!M119/Inv_SY!$Z119-1,"")</f>
        <v/>
      </c>
      <c r="Z117" s="59" t="str">
        <f>IFERROR(Inv_SY!N119/Inv_SY!$Z119-1,"")</f>
        <v/>
      </c>
      <c r="AA117" s="59" t="str">
        <f>IFERROR(Inv_SY!O119/Inv_SY!$Z119-1,"")</f>
        <v/>
      </c>
      <c r="AB117" s="59" t="str">
        <f>IFERROR(Inv_SY!P119/Inv_SY!$Z119-1,"")</f>
        <v/>
      </c>
      <c r="AC117" s="59" t="str">
        <f>IFERROR(Inv_SY!Q119/Inv_SY!$Z119-1,"")</f>
        <v/>
      </c>
      <c r="AD117" s="59" t="str">
        <f>IFERROR(Inv_SY!R119/Inv_SY!$Z119-1,"")</f>
        <v/>
      </c>
      <c r="AE117" s="59" t="str">
        <f>IFERROR(Inv_SY!S119/Inv_SY!$Z119-1,"")</f>
        <v/>
      </c>
      <c r="AF117" s="59" t="str">
        <f>IFERROR(Inv_SY!T119/Inv_SY!$Z119-1,"")</f>
        <v/>
      </c>
      <c r="AG117" s="59" t="str">
        <f>IFERROR(Inv_SY!U119/Inv_SY!$Z119-1,"")</f>
        <v/>
      </c>
      <c r="AH117" s="59" t="str">
        <f>IFERROR(Inv_SY!V119/Inv_SY!$Y119-1,"")</f>
        <v/>
      </c>
      <c r="AI117" s="59" t="str">
        <f>IFERROR(Inv_SY!W119/Inv_SY!$Y119-1,"")</f>
        <v/>
      </c>
      <c r="AJ117" s="59" t="str">
        <f>IFERROR(Inv_SY!X119/Inv_SY!$Y119-1,"")</f>
        <v/>
      </c>
      <c r="AK117" s="59" t="str">
        <f>IFERROR(Inv_SY!V119/Inv_SY!$Z119-1,"")</f>
        <v/>
      </c>
      <c r="AL117" s="59" t="str">
        <f>IFERROR(Inv_SY!W119/Inv_SY!$Z119-1,"")</f>
        <v/>
      </c>
      <c r="AM117" s="59" t="str">
        <f>IFERROR(Inv_SY!X119/Inv_SY!$Z119-1,"")</f>
        <v/>
      </c>
    </row>
    <row r="118" spans="1:39" x14ac:dyDescent="0.3">
      <c r="A118" s="234">
        <f>YEAR(Table5[[#This Row],[Date]])+IF(MONTH(Table5[[#This Row],[Date]])&gt;=4,1,0)</f>
        <v>2026</v>
      </c>
      <c r="B118" s="234"/>
      <c r="C118" s="234">
        <f>YEAR(Table5[[#This Row],[Date]])</f>
        <v>2025</v>
      </c>
      <c r="D118" s="234"/>
      <c r="E118" s="234"/>
      <c r="F118" s="235" t="str">
        <f>TEXT(Table5[[#This Row],[Date]],"mmm-yy")</f>
        <v>Jul-25</v>
      </c>
      <c r="G118" s="234">
        <f t="shared" si="7"/>
        <v>31</v>
      </c>
      <c r="H118" s="122">
        <f t="shared" si="6"/>
        <v>45861</v>
      </c>
      <c r="I118" s="55">
        <v>8.02</v>
      </c>
      <c r="J118" s="59" t="str">
        <f>IFERROR(Inv_SY!J120/Inv_SY!$Y120-1,"")</f>
        <v/>
      </c>
      <c r="K118" s="59" t="str">
        <f>IFERROR(Inv_SY!K120/Inv_SY!$Y120-1,"")</f>
        <v/>
      </c>
      <c r="L118" s="59" t="str">
        <f>IFERROR(Inv_SY!L120/Inv_SY!$Y120-1,"")</f>
        <v/>
      </c>
      <c r="M118" s="59" t="str">
        <f>IFERROR(Inv_SY!M120/Inv_SY!$Y120-1,"")</f>
        <v/>
      </c>
      <c r="N118" s="59" t="str">
        <f>IFERROR(Inv_SY!N120/Inv_SY!$Y120-1,"")</f>
        <v/>
      </c>
      <c r="O118" s="59" t="str">
        <f>IFERROR(Inv_SY!O120/Inv_SY!$Y120-1,"")</f>
        <v/>
      </c>
      <c r="P118" s="59" t="str">
        <f>IFERROR(Inv_SY!P120/Inv_SY!$Y120-1,"")</f>
        <v/>
      </c>
      <c r="Q118" s="59" t="str">
        <f>IFERROR(Inv_SY!Q120/Inv_SY!$Y120-1,"")</f>
        <v/>
      </c>
      <c r="R118" s="59" t="str">
        <f>IFERROR(Inv_SY!R120/Inv_SY!$Y120-1,"")</f>
        <v/>
      </c>
      <c r="S118" s="59" t="str">
        <f>IFERROR(Inv_SY!S120/Inv_SY!$Y120-1,"")</f>
        <v/>
      </c>
      <c r="T118" s="59" t="str">
        <f>IFERROR(Inv_SY!T120/Inv_SY!$Y120-1,"")</f>
        <v/>
      </c>
      <c r="U118" s="59" t="str">
        <f>IFERROR(Inv_SY!U120/Inv_SY!$Y120-1,"")</f>
        <v/>
      </c>
      <c r="V118" s="59" t="str">
        <f>IFERROR(Inv_SY!J120/Inv_SY!$Z120-1,"")</f>
        <v/>
      </c>
      <c r="W118" s="59" t="str">
        <f>IFERROR(Inv_SY!K120/Inv_SY!$Z120-1,"")</f>
        <v/>
      </c>
      <c r="X118" s="59" t="str">
        <f>IFERROR(Inv_SY!L120/Inv_SY!$Z120-1,"")</f>
        <v/>
      </c>
      <c r="Y118" s="59" t="str">
        <f>IFERROR(Inv_SY!M120/Inv_SY!$Z120-1,"")</f>
        <v/>
      </c>
      <c r="Z118" s="59" t="str">
        <f>IFERROR(Inv_SY!N120/Inv_SY!$Z120-1,"")</f>
        <v/>
      </c>
      <c r="AA118" s="59" t="str">
        <f>IFERROR(Inv_SY!O120/Inv_SY!$Z120-1,"")</f>
        <v/>
      </c>
      <c r="AB118" s="59" t="str">
        <f>IFERROR(Inv_SY!P120/Inv_SY!$Z120-1,"")</f>
        <v/>
      </c>
      <c r="AC118" s="59" t="str">
        <f>IFERROR(Inv_SY!Q120/Inv_SY!$Z120-1,"")</f>
        <v/>
      </c>
      <c r="AD118" s="59" t="str">
        <f>IFERROR(Inv_SY!R120/Inv_SY!$Z120-1,"")</f>
        <v/>
      </c>
      <c r="AE118" s="59" t="str">
        <f>IFERROR(Inv_SY!S120/Inv_SY!$Z120-1,"")</f>
        <v/>
      </c>
      <c r="AF118" s="59" t="str">
        <f>IFERROR(Inv_SY!T120/Inv_SY!$Z120-1,"")</f>
        <v/>
      </c>
      <c r="AG118" s="59" t="str">
        <f>IFERROR(Inv_SY!U120/Inv_SY!$Z120-1,"")</f>
        <v/>
      </c>
      <c r="AH118" s="59" t="str">
        <f>IFERROR(Inv_SY!V120/Inv_SY!$Y120-1,"")</f>
        <v/>
      </c>
      <c r="AI118" s="59" t="str">
        <f>IFERROR(Inv_SY!W120/Inv_SY!$Y120-1,"")</f>
        <v/>
      </c>
      <c r="AJ118" s="59" t="str">
        <f>IFERROR(Inv_SY!X120/Inv_SY!$Y120-1,"")</f>
        <v/>
      </c>
      <c r="AK118" s="59" t="str">
        <f>IFERROR(Inv_SY!V120/Inv_SY!$Z120-1,"")</f>
        <v/>
      </c>
      <c r="AL118" s="59" t="str">
        <f>IFERROR(Inv_SY!W120/Inv_SY!$Z120-1,"")</f>
        <v/>
      </c>
      <c r="AM118" s="59" t="str">
        <f>IFERROR(Inv_SY!X120/Inv_SY!$Z120-1,"")</f>
        <v/>
      </c>
    </row>
    <row r="119" spans="1:39" x14ac:dyDescent="0.3">
      <c r="A119" s="234">
        <f>YEAR(Table5[[#This Row],[Date]])+IF(MONTH(Table5[[#This Row],[Date]])&gt;=4,1,0)</f>
        <v>2026</v>
      </c>
      <c r="B119" s="234"/>
      <c r="C119" s="234">
        <f>YEAR(Table5[[#This Row],[Date]])</f>
        <v>2025</v>
      </c>
      <c r="D119" s="234"/>
      <c r="E119" s="234"/>
      <c r="F119" s="235" t="str">
        <f>TEXT(Table5[[#This Row],[Date]],"mmm-yy")</f>
        <v>Jul-25</v>
      </c>
      <c r="G119" s="234">
        <f t="shared" si="7"/>
        <v>31</v>
      </c>
      <c r="H119" s="122">
        <f t="shared" si="6"/>
        <v>45862</v>
      </c>
      <c r="I119" s="55">
        <v>8.02</v>
      </c>
      <c r="J119" s="59" t="str">
        <f>IFERROR(Inv_SY!J121/Inv_SY!$Y121-1,"")</f>
        <v/>
      </c>
      <c r="K119" s="59" t="str">
        <f>IFERROR(Inv_SY!K121/Inv_SY!$Y121-1,"")</f>
        <v/>
      </c>
      <c r="L119" s="59" t="str">
        <f>IFERROR(Inv_SY!L121/Inv_SY!$Y121-1,"")</f>
        <v/>
      </c>
      <c r="M119" s="59" t="str">
        <f>IFERROR(Inv_SY!M121/Inv_SY!$Y121-1,"")</f>
        <v/>
      </c>
      <c r="N119" s="59" t="str">
        <f>IFERROR(Inv_SY!N121/Inv_SY!$Y121-1,"")</f>
        <v/>
      </c>
      <c r="O119" s="59" t="str">
        <f>IFERROR(Inv_SY!O121/Inv_SY!$Y121-1,"")</f>
        <v/>
      </c>
      <c r="P119" s="59" t="str">
        <f>IFERROR(Inv_SY!P121/Inv_SY!$Y121-1,"")</f>
        <v/>
      </c>
      <c r="Q119" s="59" t="str">
        <f>IFERROR(Inv_SY!Q121/Inv_SY!$Y121-1,"")</f>
        <v/>
      </c>
      <c r="R119" s="59" t="str">
        <f>IFERROR(Inv_SY!R121/Inv_SY!$Y121-1,"")</f>
        <v/>
      </c>
      <c r="S119" s="59" t="str">
        <f>IFERROR(Inv_SY!S121/Inv_SY!$Y121-1,"")</f>
        <v/>
      </c>
      <c r="T119" s="59" t="str">
        <f>IFERROR(Inv_SY!T121/Inv_SY!$Y121-1,"")</f>
        <v/>
      </c>
      <c r="U119" s="59" t="str">
        <f>IFERROR(Inv_SY!U121/Inv_SY!$Y121-1,"")</f>
        <v/>
      </c>
      <c r="V119" s="59" t="str">
        <f>IFERROR(Inv_SY!J121/Inv_SY!$Z121-1,"")</f>
        <v/>
      </c>
      <c r="W119" s="59" t="str">
        <f>IFERROR(Inv_SY!K121/Inv_SY!$Z121-1,"")</f>
        <v/>
      </c>
      <c r="X119" s="59" t="str">
        <f>IFERROR(Inv_SY!L121/Inv_SY!$Z121-1,"")</f>
        <v/>
      </c>
      <c r="Y119" s="59" t="str">
        <f>IFERROR(Inv_SY!M121/Inv_SY!$Z121-1,"")</f>
        <v/>
      </c>
      <c r="Z119" s="59" t="str">
        <f>IFERROR(Inv_SY!N121/Inv_SY!$Z121-1,"")</f>
        <v/>
      </c>
      <c r="AA119" s="59" t="str">
        <f>IFERROR(Inv_SY!O121/Inv_SY!$Z121-1,"")</f>
        <v/>
      </c>
      <c r="AB119" s="59" t="str">
        <f>IFERROR(Inv_SY!P121/Inv_SY!$Z121-1,"")</f>
        <v/>
      </c>
      <c r="AC119" s="59" t="str">
        <f>IFERROR(Inv_SY!Q121/Inv_SY!$Z121-1,"")</f>
        <v/>
      </c>
      <c r="AD119" s="59" t="str">
        <f>IFERROR(Inv_SY!R121/Inv_SY!$Z121-1,"")</f>
        <v/>
      </c>
      <c r="AE119" s="59" t="str">
        <f>IFERROR(Inv_SY!S121/Inv_SY!$Z121-1,"")</f>
        <v/>
      </c>
      <c r="AF119" s="59" t="str">
        <f>IFERROR(Inv_SY!T121/Inv_SY!$Z121-1,"")</f>
        <v/>
      </c>
      <c r="AG119" s="59" t="str">
        <f>IFERROR(Inv_SY!U121/Inv_SY!$Z121-1,"")</f>
        <v/>
      </c>
      <c r="AH119" s="59" t="str">
        <f>IFERROR(Inv_SY!V121/Inv_SY!$Y121-1,"")</f>
        <v/>
      </c>
      <c r="AI119" s="59" t="str">
        <f>IFERROR(Inv_SY!W121/Inv_SY!$Y121-1,"")</f>
        <v/>
      </c>
      <c r="AJ119" s="59" t="str">
        <f>IFERROR(Inv_SY!X121/Inv_SY!$Y121-1,"")</f>
        <v/>
      </c>
      <c r="AK119" s="59" t="str">
        <f>IFERROR(Inv_SY!V121/Inv_SY!$Z121-1,"")</f>
        <v/>
      </c>
      <c r="AL119" s="59" t="str">
        <f>IFERROR(Inv_SY!W121/Inv_SY!$Z121-1,"")</f>
        <v/>
      </c>
      <c r="AM119" s="59" t="str">
        <f>IFERROR(Inv_SY!X121/Inv_SY!$Z121-1,"")</f>
        <v/>
      </c>
    </row>
    <row r="120" spans="1:39" x14ac:dyDescent="0.3">
      <c r="A120" s="234">
        <f>YEAR(Table5[[#This Row],[Date]])+IF(MONTH(Table5[[#This Row],[Date]])&gt;=4,1,0)</f>
        <v>2026</v>
      </c>
      <c r="B120" s="234"/>
      <c r="C120" s="234">
        <f>YEAR(Table5[[#This Row],[Date]])</f>
        <v>2025</v>
      </c>
      <c r="D120" s="234"/>
      <c r="E120" s="234"/>
      <c r="F120" s="235" t="str">
        <f>TEXT(Table5[[#This Row],[Date]],"mmm-yy")</f>
        <v>Jul-25</v>
      </c>
      <c r="G120" s="234">
        <f t="shared" si="7"/>
        <v>31</v>
      </c>
      <c r="H120" s="122">
        <f t="shared" si="6"/>
        <v>45863</v>
      </c>
      <c r="I120" s="55">
        <v>8.02</v>
      </c>
      <c r="J120" s="59" t="str">
        <f>IFERROR(Inv_SY!J122/Inv_SY!$Y122-1,"")</f>
        <v/>
      </c>
      <c r="K120" s="59" t="str">
        <f>IFERROR(Inv_SY!K122/Inv_SY!$Y122-1,"")</f>
        <v/>
      </c>
      <c r="L120" s="59" t="str">
        <f>IFERROR(Inv_SY!L122/Inv_SY!$Y122-1,"")</f>
        <v/>
      </c>
      <c r="M120" s="59" t="str">
        <f>IFERROR(Inv_SY!M122/Inv_SY!$Y122-1,"")</f>
        <v/>
      </c>
      <c r="N120" s="59" t="str">
        <f>IFERROR(Inv_SY!N122/Inv_SY!$Y122-1,"")</f>
        <v/>
      </c>
      <c r="O120" s="59" t="str">
        <f>IFERROR(Inv_SY!O122/Inv_SY!$Y122-1,"")</f>
        <v/>
      </c>
      <c r="P120" s="59" t="str">
        <f>IFERROR(Inv_SY!P122/Inv_SY!$Y122-1,"")</f>
        <v/>
      </c>
      <c r="Q120" s="59" t="str">
        <f>IFERROR(Inv_SY!Q122/Inv_SY!$Y122-1,"")</f>
        <v/>
      </c>
      <c r="R120" s="59" t="str">
        <f>IFERROR(Inv_SY!R122/Inv_SY!$Y122-1,"")</f>
        <v/>
      </c>
      <c r="S120" s="59" t="str">
        <f>IFERROR(Inv_SY!S122/Inv_SY!$Y122-1,"")</f>
        <v/>
      </c>
      <c r="T120" s="59" t="str">
        <f>IFERROR(Inv_SY!T122/Inv_SY!$Y122-1,"")</f>
        <v/>
      </c>
      <c r="U120" s="59" t="str">
        <f>IFERROR(Inv_SY!U122/Inv_SY!$Y122-1,"")</f>
        <v/>
      </c>
      <c r="V120" s="59" t="str">
        <f>IFERROR(Inv_SY!J122/Inv_SY!$Z122-1,"")</f>
        <v/>
      </c>
      <c r="W120" s="59" t="str">
        <f>IFERROR(Inv_SY!K122/Inv_SY!$Z122-1,"")</f>
        <v/>
      </c>
      <c r="X120" s="59" t="str">
        <f>IFERROR(Inv_SY!L122/Inv_SY!$Z122-1,"")</f>
        <v/>
      </c>
      <c r="Y120" s="59" t="str">
        <f>IFERROR(Inv_SY!M122/Inv_SY!$Z122-1,"")</f>
        <v/>
      </c>
      <c r="Z120" s="59" t="str">
        <f>IFERROR(Inv_SY!N122/Inv_SY!$Z122-1,"")</f>
        <v/>
      </c>
      <c r="AA120" s="59" t="str">
        <f>IFERROR(Inv_SY!O122/Inv_SY!$Z122-1,"")</f>
        <v/>
      </c>
      <c r="AB120" s="59" t="str">
        <f>IFERROR(Inv_SY!P122/Inv_SY!$Z122-1,"")</f>
        <v/>
      </c>
      <c r="AC120" s="59" t="str">
        <f>IFERROR(Inv_SY!Q122/Inv_SY!$Z122-1,"")</f>
        <v/>
      </c>
      <c r="AD120" s="59" t="str">
        <f>IFERROR(Inv_SY!R122/Inv_SY!$Z122-1,"")</f>
        <v/>
      </c>
      <c r="AE120" s="59" t="str">
        <f>IFERROR(Inv_SY!S122/Inv_SY!$Z122-1,"")</f>
        <v/>
      </c>
      <c r="AF120" s="59" t="str">
        <f>IFERROR(Inv_SY!T122/Inv_SY!$Z122-1,"")</f>
        <v/>
      </c>
      <c r="AG120" s="59" t="str">
        <f>IFERROR(Inv_SY!U122/Inv_SY!$Z122-1,"")</f>
        <v/>
      </c>
      <c r="AH120" s="59" t="str">
        <f>IFERROR(Inv_SY!V122/Inv_SY!$Y122-1,"")</f>
        <v/>
      </c>
      <c r="AI120" s="59" t="str">
        <f>IFERROR(Inv_SY!W122/Inv_SY!$Y122-1,"")</f>
        <v/>
      </c>
      <c r="AJ120" s="59" t="str">
        <f>IFERROR(Inv_SY!X122/Inv_SY!$Y122-1,"")</f>
        <v/>
      </c>
      <c r="AK120" s="59" t="str">
        <f>IFERROR(Inv_SY!V122/Inv_SY!$Z122-1,"")</f>
        <v/>
      </c>
      <c r="AL120" s="59" t="str">
        <f>IFERROR(Inv_SY!W122/Inv_SY!$Z122-1,"")</f>
        <v/>
      </c>
      <c r="AM120" s="59" t="str">
        <f>IFERROR(Inv_SY!X122/Inv_SY!$Z122-1,"")</f>
        <v/>
      </c>
    </row>
    <row r="121" spans="1:39" x14ac:dyDescent="0.3">
      <c r="A121" s="234">
        <f>YEAR(Table5[[#This Row],[Date]])+IF(MONTH(Table5[[#This Row],[Date]])&gt;=4,1,0)</f>
        <v>2026</v>
      </c>
      <c r="B121" s="234"/>
      <c r="C121" s="234">
        <f>YEAR(Table5[[#This Row],[Date]])</f>
        <v>2025</v>
      </c>
      <c r="D121" s="234"/>
      <c r="E121" s="234"/>
      <c r="F121" s="235" t="str">
        <f>TEXT(Table5[[#This Row],[Date]],"mmm-yy")</f>
        <v>Jul-25</v>
      </c>
      <c r="G121" s="234">
        <f t="shared" si="7"/>
        <v>31</v>
      </c>
      <c r="H121" s="122">
        <f t="shared" si="6"/>
        <v>45864</v>
      </c>
      <c r="I121" s="55">
        <v>8.02</v>
      </c>
      <c r="J121" s="59" t="str">
        <f>IFERROR(Inv_SY!J123/Inv_SY!$Y123-1,"")</f>
        <v/>
      </c>
      <c r="K121" s="59" t="str">
        <f>IFERROR(Inv_SY!K123/Inv_SY!$Y123-1,"")</f>
        <v/>
      </c>
      <c r="L121" s="59" t="str">
        <f>IFERROR(Inv_SY!L123/Inv_SY!$Y123-1,"")</f>
        <v/>
      </c>
      <c r="M121" s="59" t="str">
        <f>IFERROR(Inv_SY!M123/Inv_SY!$Y123-1,"")</f>
        <v/>
      </c>
      <c r="N121" s="59" t="str">
        <f>IFERROR(Inv_SY!N123/Inv_SY!$Y123-1,"")</f>
        <v/>
      </c>
      <c r="O121" s="59" t="str">
        <f>IFERROR(Inv_SY!O123/Inv_SY!$Y123-1,"")</f>
        <v/>
      </c>
      <c r="P121" s="59" t="str">
        <f>IFERROR(Inv_SY!P123/Inv_SY!$Y123-1,"")</f>
        <v/>
      </c>
      <c r="Q121" s="59" t="str">
        <f>IFERROR(Inv_SY!Q123/Inv_SY!$Y123-1,"")</f>
        <v/>
      </c>
      <c r="R121" s="59" t="str">
        <f>IFERROR(Inv_SY!R123/Inv_SY!$Y123-1,"")</f>
        <v/>
      </c>
      <c r="S121" s="59" t="str">
        <f>IFERROR(Inv_SY!S123/Inv_SY!$Y123-1,"")</f>
        <v/>
      </c>
      <c r="T121" s="59" t="str">
        <f>IFERROR(Inv_SY!T123/Inv_SY!$Y123-1,"")</f>
        <v/>
      </c>
      <c r="U121" s="59" t="str">
        <f>IFERROR(Inv_SY!U123/Inv_SY!$Y123-1,"")</f>
        <v/>
      </c>
      <c r="V121" s="59" t="str">
        <f>IFERROR(Inv_SY!J123/Inv_SY!$Z123-1,"")</f>
        <v/>
      </c>
      <c r="W121" s="59" t="str">
        <f>IFERROR(Inv_SY!K123/Inv_SY!$Z123-1,"")</f>
        <v/>
      </c>
      <c r="X121" s="59" t="str">
        <f>IFERROR(Inv_SY!L123/Inv_SY!$Z123-1,"")</f>
        <v/>
      </c>
      <c r="Y121" s="59" t="str">
        <f>IFERROR(Inv_SY!M123/Inv_SY!$Z123-1,"")</f>
        <v/>
      </c>
      <c r="Z121" s="59" t="str">
        <f>IFERROR(Inv_SY!N123/Inv_SY!$Z123-1,"")</f>
        <v/>
      </c>
      <c r="AA121" s="59" t="str">
        <f>IFERROR(Inv_SY!O123/Inv_SY!$Z123-1,"")</f>
        <v/>
      </c>
      <c r="AB121" s="59" t="str">
        <f>IFERROR(Inv_SY!P123/Inv_SY!$Z123-1,"")</f>
        <v/>
      </c>
      <c r="AC121" s="59" t="str">
        <f>IFERROR(Inv_SY!Q123/Inv_SY!$Z123-1,"")</f>
        <v/>
      </c>
      <c r="AD121" s="59" t="str">
        <f>IFERROR(Inv_SY!R123/Inv_SY!$Z123-1,"")</f>
        <v/>
      </c>
      <c r="AE121" s="59" t="str">
        <f>IFERROR(Inv_SY!S123/Inv_SY!$Z123-1,"")</f>
        <v/>
      </c>
      <c r="AF121" s="59" t="str">
        <f>IFERROR(Inv_SY!T123/Inv_SY!$Z123-1,"")</f>
        <v/>
      </c>
      <c r="AG121" s="59" t="str">
        <f>IFERROR(Inv_SY!U123/Inv_SY!$Z123-1,"")</f>
        <v/>
      </c>
      <c r="AH121" s="59" t="str">
        <f>IFERROR(Inv_SY!V123/Inv_SY!$Y123-1,"")</f>
        <v/>
      </c>
      <c r="AI121" s="59" t="str">
        <f>IFERROR(Inv_SY!W123/Inv_SY!$Y123-1,"")</f>
        <v/>
      </c>
      <c r="AJ121" s="59" t="str">
        <f>IFERROR(Inv_SY!X123/Inv_SY!$Y123-1,"")</f>
        <v/>
      </c>
      <c r="AK121" s="59" t="str">
        <f>IFERROR(Inv_SY!V123/Inv_SY!$Z123-1,"")</f>
        <v/>
      </c>
      <c r="AL121" s="59" t="str">
        <f>IFERROR(Inv_SY!W123/Inv_SY!$Z123-1,"")</f>
        <v/>
      </c>
      <c r="AM121" s="59" t="str">
        <f>IFERROR(Inv_SY!X123/Inv_SY!$Z123-1,"")</f>
        <v/>
      </c>
    </row>
    <row r="122" spans="1:39" x14ac:dyDescent="0.3">
      <c r="A122" s="234">
        <f>YEAR(Table5[[#This Row],[Date]])+IF(MONTH(Table5[[#This Row],[Date]])&gt;=4,1,0)</f>
        <v>2026</v>
      </c>
      <c r="B122" s="234"/>
      <c r="C122" s="234">
        <f>YEAR(Table5[[#This Row],[Date]])</f>
        <v>2025</v>
      </c>
      <c r="D122" s="234"/>
      <c r="E122" s="234"/>
      <c r="F122" s="235" t="str">
        <f>TEXT(Table5[[#This Row],[Date]],"mmm-yy")</f>
        <v>Jul-25</v>
      </c>
      <c r="G122" s="234">
        <f t="shared" si="7"/>
        <v>31</v>
      </c>
      <c r="H122" s="122">
        <f t="shared" si="6"/>
        <v>45865</v>
      </c>
      <c r="I122" s="55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34">
        <f>YEAR(Table5[[#This Row],[Date]])+IF(MONTH(Table5[[#This Row],[Date]])&gt;=4,1,0)</f>
        <v>2026</v>
      </c>
      <c r="B123" s="234"/>
      <c r="C123" s="234">
        <f>YEAR(Table5[[#This Row],[Date]])</f>
        <v>2025</v>
      </c>
      <c r="D123" s="234"/>
      <c r="E123" s="234"/>
      <c r="F123" s="235" t="str">
        <f>TEXT(Table5[[#This Row],[Date]],"mmm-yy")</f>
        <v>Jul-25</v>
      </c>
      <c r="G123" s="234">
        <f t="shared" si="7"/>
        <v>31</v>
      </c>
      <c r="H123" s="122">
        <f t="shared" si="6"/>
        <v>45866</v>
      </c>
      <c r="I123" s="55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34">
        <f>YEAR(Table5[[#This Row],[Date]])+IF(MONTH(Table5[[#This Row],[Date]])&gt;=4,1,0)</f>
        <v>2026</v>
      </c>
      <c r="B124" s="234"/>
      <c r="C124" s="234">
        <f>YEAR(Table5[[#This Row],[Date]])</f>
        <v>2025</v>
      </c>
      <c r="D124" s="234"/>
      <c r="E124" s="234"/>
      <c r="F124" s="235" t="str">
        <f>TEXT(Table5[[#This Row],[Date]],"mmm-yy")</f>
        <v>Jul-25</v>
      </c>
      <c r="G124" s="234">
        <f t="shared" si="7"/>
        <v>31</v>
      </c>
      <c r="H124" s="122">
        <f t="shared" si="6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34">
        <f>YEAR(Table5[[#This Row],[Date]])+IF(MONTH(Table5[[#This Row],[Date]])&gt;=4,1,0)</f>
        <v>2026</v>
      </c>
      <c r="B125" s="234"/>
      <c r="C125" s="234">
        <f>YEAR(Table5[[#This Row],[Date]])</f>
        <v>2025</v>
      </c>
      <c r="D125" s="234"/>
      <c r="E125" s="234"/>
      <c r="F125" s="235" t="str">
        <f>TEXT(Table5[[#This Row],[Date]],"mmm-yy")</f>
        <v>Jul-25</v>
      </c>
      <c r="G125" s="234">
        <f t="shared" si="7"/>
        <v>31</v>
      </c>
      <c r="H125" s="122">
        <f t="shared" si="6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34">
        <f>YEAR(Table5[[#This Row],[Date]])+IF(MONTH(Table5[[#This Row],[Date]])&gt;=4,1,0)</f>
        <v>2026</v>
      </c>
      <c r="B126" s="234"/>
      <c r="C126" s="234">
        <f>YEAR(Table5[[#This Row],[Date]])</f>
        <v>2025</v>
      </c>
      <c r="D126" s="234"/>
      <c r="E126" s="234"/>
      <c r="F126" s="235" t="str">
        <f>TEXT(Table5[[#This Row],[Date]],"mmm-yy")</f>
        <v>Jul-25</v>
      </c>
      <c r="G126" s="234">
        <f t="shared" si="7"/>
        <v>31</v>
      </c>
      <c r="H126" s="122">
        <f t="shared" si="6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34">
        <f>YEAR(Table5[[#This Row],[Date]])+IF(MONTH(Table5[[#This Row],[Date]])&gt;=4,1,0)</f>
        <v>2026</v>
      </c>
      <c r="B127" s="234"/>
      <c r="C127" s="234">
        <f>YEAR(Table5[[#This Row],[Date]])</f>
        <v>2025</v>
      </c>
      <c r="D127" s="234"/>
      <c r="E127" s="234"/>
      <c r="F127" s="235" t="str">
        <f>TEXT(Table5[[#This Row],[Date]],"mmm-yy")</f>
        <v>Aug-25</v>
      </c>
      <c r="G127" s="234">
        <f t="shared" si="7"/>
        <v>31</v>
      </c>
      <c r="H127" s="122">
        <f t="shared" si="6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34">
        <f>YEAR(Table5[[#This Row],[Date]])+IF(MONTH(Table5[[#This Row],[Date]])&gt;=4,1,0)</f>
        <v>2026</v>
      </c>
      <c r="B128" s="234"/>
      <c r="C128" s="234">
        <f>YEAR(Table5[[#This Row],[Date]])</f>
        <v>2025</v>
      </c>
      <c r="D128" s="234"/>
      <c r="E128" s="234"/>
      <c r="F128" s="235" t="str">
        <f>TEXT(Table5[[#This Row],[Date]],"mmm-yy")</f>
        <v>Aug-25</v>
      </c>
      <c r="G128" s="234">
        <f t="shared" si="7"/>
        <v>31</v>
      </c>
      <c r="H128" s="122">
        <f t="shared" si="6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34">
        <f>YEAR(Table5[[#This Row],[Date]])+IF(MONTH(Table5[[#This Row],[Date]])&gt;=4,1,0)</f>
        <v>2026</v>
      </c>
      <c r="B129" s="234"/>
      <c r="C129" s="234">
        <f>YEAR(Table5[[#This Row],[Date]])</f>
        <v>2025</v>
      </c>
      <c r="D129" s="234"/>
      <c r="E129" s="234"/>
      <c r="F129" s="235" t="str">
        <f>TEXT(Table5[[#This Row],[Date]],"mmm-yy")</f>
        <v>Aug-25</v>
      </c>
      <c r="G129" s="234">
        <f t="shared" si="7"/>
        <v>31</v>
      </c>
      <c r="H129" s="122">
        <f t="shared" si="6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34">
        <f>YEAR(Table5[[#This Row],[Date]])+IF(MONTH(Table5[[#This Row],[Date]])&gt;=4,1,0)</f>
        <v>2026</v>
      </c>
      <c r="B130" s="234"/>
      <c r="C130" s="234">
        <f>YEAR(Table5[[#This Row],[Date]])</f>
        <v>2025</v>
      </c>
      <c r="D130" s="234"/>
      <c r="E130" s="234"/>
      <c r="F130" s="235" t="str">
        <f>TEXT(Table5[[#This Row],[Date]],"mmm-yy")</f>
        <v>Aug-25</v>
      </c>
      <c r="G130" s="234">
        <f t="shared" si="7"/>
        <v>31</v>
      </c>
      <c r="H130" s="122">
        <f t="shared" si="6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34">
        <f>YEAR(Table5[[#This Row],[Date]])+IF(MONTH(Table5[[#This Row],[Date]])&gt;=4,1,0)</f>
        <v>2026</v>
      </c>
      <c r="B131" s="234"/>
      <c r="C131" s="234">
        <f>YEAR(Table5[[#This Row],[Date]])</f>
        <v>2025</v>
      </c>
      <c r="D131" s="234"/>
      <c r="E131" s="234"/>
      <c r="F131" s="235" t="str">
        <f>TEXT(Table5[[#This Row],[Date]],"mmm-yy")</f>
        <v>Aug-25</v>
      </c>
      <c r="G131" s="234">
        <f t="shared" si="7"/>
        <v>31</v>
      </c>
      <c r="H131" s="122">
        <f t="shared" si="6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34">
        <f>YEAR(Table5[[#This Row],[Date]])+IF(MONTH(Table5[[#This Row],[Date]])&gt;=4,1,0)</f>
        <v>2026</v>
      </c>
      <c r="B132" s="234"/>
      <c r="C132" s="234">
        <f>YEAR(Table5[[#This Row],[Date]])</f>
        <v>2025</v>
      </c>
      <c r="D132" s="234"/>
      <c r="E132" s="234"/>
      <c r="F132" s="235" t="str">
        <f>TEXT(Table5[[#This Row],[Date]],"mmm-yy")</f>
        <v>Aug-25</v>
      </c>
      <c r="G132" s="234">
        <f t="shared" si="7"/>
        <v>31</v>
      </c>
      <c r="H132" s="122">
        <f t="shared" si="6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34">
        <f>YEAR(Table5[[#This Row],[Date]])+IF(MONTH(Table5[[#This Row],[Date]])&gt;=4,1,0)</f>
        <v>2026</v>
      </c>
      <c r="B133" s="234"/>
      <c r="C133" s="234">
        <f>YEAR(Table5[[#This Row],[Date]])</f>
        <v>2025</v>
      </c>
      <c r="D133" s="234"/>
      <c r="E133" s="234"/>
      <c r="F133" s="235" t="str">
        <f>TEXT(Table5[[#This Row],[Date]],"mmm-yy")</f>
        <v>Aug-25</v>
      </c>
      <c r="G133" s="234">
        <f t="shared" si="7"/>
        <v>31</v>
      </c>
      <c r="H133" s="122">
        <f t="shared" ref="H133:H196" si="8">H132+1</f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34">
        <f>YEAR(Table5[[#This Row],[Date]])+IF(MONTH(Table5[[#This Row],[Date]])&gt;=4,1,0)</f>
        <v>2026</v>
      </c>
      <c r="B134" s="234"/>
      <c r="C134" s="234">
        <f>YEAR(Table5[[#This Row],[Date]])</f>
        <v>2025</v>
      </c>
      <c r="D134" s="234"/>
      <c r="E134" s="234"/>
      <c r="F134" s="235" t="str">
        <f>TEXT(Table5[[#This Row],[Date]],"mmm-yy")</f>
        <v>Aug-25</v>
      </c>
      <c r="G134" s="234">
        <f t="shared" si="7"/>
        <v>31</v>
      </c>
      <c r="H134" s="122">
        <f t="shared" si="8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34">
        <f>YEAR(Table5[[#This Row],[Date]])+IF(MONTH(Table5[[#This Row],[Date]])&gt;=4,1,0)</f>
        <v>2026</v>
      </c>
      <c r="B135" s="234"/>
      <c r="C135" s="234">
        <f>YEAR(Table5[[#This Row],[Date]])</f>
        <v>2025</v>
      </c>
      <c r="D135" s="234"/>
      <c r="E135" s="234"/>
      <c r="F135" s="235" t="str">
        <f>TEXT(Table5[[#This Row],[Date]],"mmm-yy")</f>
        <v>Aug-25</v>
      </c>
      <c r="G135" s="234">
        <f t="shared" si="7"/>
        <v>31</v>
      </c>
      <c r="H135" s="122">
        <f t="shared" si="8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34">
        <f>YEAR(Table5[[#This Row],[Date]])+IF(MONTH(Table5[[#This Row],[Date]])&gt;=4,1,0)</f>
        <v>2026</v>
      </c>
      <c r="B136" s="234"/>
      <c r="C136" s="234">
        <f>YEAR(Table5[[#This Row],[Date]])</f>
        <v>2025</v>
      </c>
      <c r="D136" s="234"/>
      <c r="E136" s="234"/>
      <c r="F136" s="235" t="str">
        <f>TEXT(Table5[[#This Row],[Date]],"mmm-yy")</f>
        <v>Aug-25</v>
      </c>
      <c r="G136" s="234">
        <f t="shared" si="7"/>
        <v>31</v>
      </c>
      <c r="H136" s="122">
        <f t="shared" si="8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34">
        <f>YEAR(Table5[[#This Row],[Date]])+IF(MONTH(Table5[[#This Row],[Date]])&gt;=4,1,0)</f>
        <v>2026</v>
      </c>
      <c r="B137" s="234"/>
      <c r="C137" s="234">
        <f>YEAR(Table5[[#This Row],[Date]])</f>
        <v>2025</v>
      </c>
      <c r="D137" s="234"/>
      <c r="E137" s="234"/>
      <c r="F137" s="235" t="str">
        <f>TEXT(Table5[[#This Row],[Date]],"mmm-yy")</f>
        <v>Aug-25</v>
      </c>
      <c r="G137" s="234">
        <f t="shared" si="7"/>
        <v>31</v>
      </c>
      <c r="H137" s="122">
        <f t="shared" si="8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34">
        <f>YEAR(Table5[[#This Row],[Date]])+IF(MONTH(Table5[[#This Row],[Date]])&gt;=4,1,0)</f>
        <v>2026</v>
      </c>
      <c r="B138" s="234"/>
      <c r="C138" s="234">
        <f>YEAR(Table5[[#This Row],[Date]])</f>
        <v>2025</v>
      </c>
      <c r="D138" s="234"/>
      <c r="E138" s="234"/>
      <c r="F138" s="235" t="str">
        <f>TEXT(Table5[[#This Row],[Date]],"mmm-yy")</f>
        <v>Aug-25</v>
      </c>
      <c r="G138" s="234">
        <f t="shared" si="7"/>
        <v>31</v>
      </c>
      <c r="H138" s="122">
        <f t="shared" si="8"/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34">
        <f>YEAR(Table5[[#This Row],[Date]])+IF(MONTH(Table5[[#This Row],[Date]])&gt;=4,1,0)</f>
        <v>2026</v>
      </c>
      <c r="B139" s="234"/>
      <c r="C139" s="234">
        <f>YEAR(Table5[[#This Row],[Date]])</f>
        <v>2025</v>
      </c>
      <c r="D139" s="234"/>
      <c r="E139" s="234"/>
      <c r="F139" s="235" t="str">
        <f>TEXT(Table5[[#This Row],[Date]],"mmm-yy")</f>
        <v>Aug-25</v>
      </c>
      <c r="G139" s="234">
        <f t="shared" si="7"/>
        <v>31</v>
      </c>
      <c r="H139" s="122">
        <f t="shared" si="8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34">
        <f>YEAR(Table5[[#This Row],[Date]])+IF(MONTH(Table5[[#This Row],[Date]])&gt;=4,1,0)</f>
        <v>2026</v>
      </c>
      <c r="B140" s="234"/>
      <c r="C140" s="234">
        <f>YEAR(Table5[[#This Row],[Date]])</f>
        <v>2025</v>
      </c>
      <c r="D140" s="234"/>
      <c r="E140" s="234"/>
      <c r="F140" s="235" t="str">
        <f>TEXT(Table5[[#This Row],[Date]],"mmm-yy")</f>
        <v>Aug-25</v>
      </c>
      <c r="G140" s="234">
        <f t="shared" si="7"/>
        <v>31</v>
      </c>
      <c r="H140" s="122">
        <f t="shared" si="8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34">
        <f>YEAR(Table5[[#This Row],[Date]])+IF(MONTH(Table5[[#This Row],[Date]])&gt;=4,1,0)</f>
        <v>2026</v>
      </c>
      <c r="B141" s="234"/>
      <c r="C141" s="234">
        <f>YEAR(Table5[[#This Row],[Date]])</f>
        <v>2025</v>
      </c>
      <c r="D141" s="234"/>
      <c r="E141" s="234"/>
      <c r="F141" s="235" t="str">
        <f>TEXT(Table5[[#This Row],[Date]],"mmm-yy")</f>
        <v>Aug-25</v>
      </c>
      <c r="G141" s="234">
        <f t="shared" si="7"/>
        <v>31</v>
      </c>
      <c r="H141" s="122">
        <f t="shared" si="8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34">
        <f>YEAR(Table5[[#This Row],[Date]])+IF(MONTH(Table5[[#This Row],[Date]])&gt;=4,1,0)</f>
        <v>2026</v>
      </c>
      <c r="B142" s="234"/>
      <c r="C142" s="234">
        <f>YEAR(Table5[[#This Row],[Date]])</f>
        <v>2025</v>
      </c>
      <c r="D142" s="234"/>
      <c r="E142" s="234"/>
      <c r="F142" s="235" t="str">
        <f>TEXT(Table5[[#This Row],[Date]],"mmm-yy")</f>
        <v>Aug-25</v>
      </c>
      <c r="G142" s="234">
        <f t="shared" si="7"/>
        <v>31</v>
      </c>
      <c r="H142" s="122">
        <f t="shared" si="8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34">
        <f>YEAR(Table5[[#This Row],[Date]])+IF(MONTH(Table5[[#This Row],[Date]])&gt;=4,1,0)</f>
        <v>2026</v>
      </c>
      <c r="B143" s="234"/>
      <c r="C143" s="234">
        <f>YEAR(Table5[[#This Row],[Date]])</f>
        <v>2025</v>
      </c>
      <c r="D143" s="234"/>
      <c r="E143" s="234"/>
      <c r="F143" s="235" t="str">
        <f>TEXT(Table5[[#This Row],[Date]],"mmm-yy")</f>
        <v>Aug-25</v>
      </c>
      <c r="G143" s="234">
        <f t="shared" si="7"/>
        <v>31</v>
      </c>
      <c r="H143" s="122">
        <f t="shared" si="8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34">
        <f>YEAR(Table5[[#This Row],[Date]])+IF(MONTH(Table5[[#This Row],[Date]])&gt;=4,1,0)</f>
        <v>2026</v>
      </c>
      <c r="B144" s="234"/>
      <c r="C144" s="234">
        <f>YEAR(Table5[[#This Row],[Date]])</f>
        <v>2025</v>
      </c>
      <c r="D144" s="234"/>
      <c r="E144" s="234"/>
      <c r="F144" s="235" t="str">
        <f>TEXT(Table5[[#This Row],[Date]],"mmm-yy")</f>
        <v>Aug-25</v>
      </c>
      <c r="G144" s="234">
        <f t="shared" si="7"/>
        <v>31</v>
      </c>
      <c r="H144" s="122">
        <f t="shared" si="8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34">
        <f>YEAR(Table5[[#This Row],[Date]])+IF(MONTH(Table5[[#This Row],[Date]])&gt;=4,1,0)</f>
        <v>2026</v>
      </c>
      <c r="B145" s="234"/>
      <c r="C145" s="234">
        <f>YEAR(Table5[[#This Row],[Date]])</f>
        <v>2025</v>
      </c>
      <c r="D145" s="234"/>
      <c r="E145" s="234"/>
      <c r="F145" s="235" t="str">
        <f>TEXT(Table5[[#This Row],[Date]],"mmm-yy")</f>
        <v>Aug-25</v>
      </c>
      <c r="G145" s="234">
        <f t="shared" si="7"/>
        <v>31</v>
      </c>
      <c r="H145" s="122">
        <f t="shared" si="8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34">
        <f>YEAR(Table5[[#This Row],[Date]])+IF(MONTH(Table5[[#This Row],[Date]])&gt;=4,1,0)</f>
        <v>2026</v>
      </c>
      <c r="B146" s="234"/>
      <c r="C146" s="234">
        <f>YEAR(Table5[[#This Row],[Date]])</f>
        <v>2025</v>
      </c>
      <c r="D146" s="234"/>
      <c r="E146" s="234"/>
      <c r="F146" s="235" t="str">
        <f>TEXT(Table5[[#This Row],[Date]],"mmm-yy")</f>
        <v>Aug-25</v>
      </c>
      <c r="G146" s="234">
        <f t="shared" si="7"/>
        <v>31</v>
      </c>
      <c r="H146" s="122">
        <f t="shared" si="8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34">
        <f>YEAR(Table5[[#This Row],[Date]])+IF(MONTH(Table5[[#This Row],[Date]])&gt;=4,1,0)</f>
        <v>2026</v>
      </c>
      <c r="B147" s="234"/>
      <c r="C147" s="234">
        <f>YEAR(Table5[[#This Row],[Date]])</f>
        <v>2025</v>
      </c>
      <c r="D147" s="234"/>
      <c r="E147" s="234"/>
      <c r="F147" s="235" t="str">
        <f>TEXT(Table5[[#This Row],[Date]],"mmm-yy")</f>
        <v>Aug-25</v>
      </c>
      <c r="G147" s="234">
        <f t="shared" si="7"/>
        <v>31</v>
      </c>
      <c r="H147" s="122">
        <f t="shared" si="8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34">
        <f>YEAR(Table5[[#This Row],[Date]])+IF(MONTH(Table5[[#This Row],[Date]])&gt;=4,1,0)</f>
        <v>2026</v>
      </c>
      <c r="B148" s="234"/>
      <c r="C148" s="234">
        <f>YEAR(Table5[[#This Row],[Date]])</f>
        <v>2025</v>
      </c>
      <c r="D148" s="234"/>
      <c r="E148" s="234"/>
      <c r="F148" s="235" t="str">
        <f>TEXT(Table5[[#This Row],[Date]],"mmm-yy")</f>
        <v>Aug-25</v>
      </c>
      <c r="G148" s="234">
        <f t="shared" si="7"/>
        <v>31</v>
      </c>
      <c r="H148" s="122">
        <f t="shared" si="8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34">
        <f>YEAR(Table5[[#This Row],[Date]])+IF(MONTH(Table5[[#This Row],[Date]])&gt;=4,1,0)</f>
        <v>2026</v>
      </c>
      <c r="B149" s="234"/>
      <c r="C149" s="234">
        <f>YEAR(Table5[[#This Row],[Date]])</f>
        <v>2025</v>
      </c>
      <c r="D149" s="234"/>
      <c r="E149" s="234"/>
      <c r="F149" s="235" t="str">
        <f>TEXT(Table5[[#This Row],[Date]],"mmm-yy")</f>
        <v>Aug-25</v>
      </c>
      <c r="G149" s="234">
        <f t="shared" si="7"/>
        <v>31</v>
      </c>
      <c r="H149" s="122">
        <f t="shared" si="8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34">
        <f>YEAR(Table5[[#This Row],[Date]])+IF(MONTH(Table5[[#This Row],[Date]])&gt;=4,1,0)</f>
        <v>2026</v>
      </c>
      <c r="B150" s="234"/>
      <c r="C150" s="234">
        <f>YEAR(Table5[[#This Row],[Date]])</f>
        <v>2025</v>
      </c>
      <c r="D150" s="234"/>
      <c r="E150" s="234"/>
      <c r="F150" s="235" t="str">
        <f>TEXT(Table5[[#This Row],[Date]],"mmm-yy")</f>
        <v>Aug-25</v>
      </c>
      <c r="G150" s="234">
        <f t="shared" si="7"/>
        <v>31</v>
      </c>
      <c r="H150" s="122">
        <f t="shared" si="8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34">
        <f>YEAR(Table5[[#This Row],[Date]])+IF(MONTH(Table5[[#This Row],[Date]])&gt;=4,1,0)</f>
        <v>2026</v>
      </c>
      <c r="B151" s="234"/>
      <c r="C151" s="234">
        <f>YEAR(Table5[[#This Row],[Date]])</f>
        <v>2025</v>
      </c>
      <c r="D151" s="234"/>
      <c r="E151" s="234"/>
      <c r="F151" s="235" t="str">
        <f>TEXT(Table5[[#This Row],[Date]],"mmm-yy")</f>
        <v>Aug-25</v>
      </c>
      <c r="G151" s="234">
        <f t="shared" si="7"/>
        <v>31</v>
      </c>
      <c r="H151" s="122">
        <f t="shared" si="8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34">
        <f>YEAR(Table5[[#This Row],[Date]])+IF(MONTH(Table5[[#This Row],[Date]])&gt;=4,1,0)</f>
        <v>2026</v>
      </c>
      <c r="B152" s="234"/>
      <c r="C152" s="234">
        <f>YEAR(Table5[[#This Row],[Date]])</f>
        <v>2025</v>
      </c>
      <c r="D152" s="234"/>
      <c r="E152" s="234"/>
      <c r="F152" s="235" t="str">
        <f>TEXT(Table5[[#This Row],[Date]],"mmm-yy")</f>
        <v>Aug-25</v>
      </c>
      <c r="G152" s="234">
        <f t="shared" si="7"/>
        <v>31</v>
      </c>
      <c r="H152" s="122">
        <f t="shared" si="8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34">
        <f>YEAR(Table5[[#This Row],[Date]])+IF(MONTH(Table5[[#This Row],[Date]])&gt;=4,1,0)</f>
        <v>2026</v>
      </c>
      <c r="B153" s="234"/>
      <c r="C153" s="234">
        <f>YEAR(Table5[[#This Row],[Date]])</f>
        <v>2025</v>
      </c>
      <c r="D153" s="234"/>
      <c r="E153" s="234"/>
      <c r="F153" s="235" t="str">
        <f>TEXT(Table5[[#This Row],[Date]],"mmm-yy")</f>
        <v>Aug-25</v>
      </c>
      <c r="G153" s="234">
        <f t="shared" si="7"/>
        <v>31</v>
      </c>
      <c r="H153" s="122">
        <f t="shared" si="8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34">
        <f>YEAR(Table5[[#This Row],[Date]])+IF(MONTH(Table5[[#This Row],[Date]])&gt;=4,1,0)</f>
        <v>2026</v>
      </c>
      <c r="B154" s="234"/>
      <c r="C154" s="234">
        <f>YEAR(Table5[[#This Row],[Date]])</f>
        <v>2025</v>
      </c>
      <c r="D154" s="234"/>
      <c r="E154" s="234"/>
      <c r="F154" s="235" t="str">
        <f>TEXT(Table5[[#This Row],[Date]],"mmm-yy")</f>
        <v>Aug-25</v>
      </c>
      <c r="G154" s="234">
        <f t="shared" si="7"/>
        <v>31</v>
      </c>
      <c r="H154" s="122">
        <f t="shared" si="8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34">
        <f>YEAR(Table5[[#This Row],[Date]])+IF(MONTH(Table5[[#This Row],[Date]])&gt;=4,1,0)</f>
        <v>2026</v>
      </c>
      <c r="B155" s="234"/>
      <c r="C155" s="234">
        <f>YEAR(Table5[[#This Row],[Date]])</f>
        <v>2025</v>
      </c>
      <c r="D155" s="234"/>
      <c r="E155" s="234"/>
      <c r="F155" s="235" t="str">
        <f>TEXT(Table5[[#This Row],[Date]],"mmm-yy")</f>
        <v>Aug-25</v>
      </c>
      <c r="G155" s="234">
        <f t="shared" si="7"/>
        <v>31</v>
      </c>
      <c r="H155" s="122">
        <f t="shared" si="8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34">
        <f>YEAR(Table5[[#This Row],[Date]])+IF(MONTH(Table5[[#This Row],[Date]])&gt;=4,1,0)</f>
        <v>2026</v>
      </c>
      <c r="B156" s="234"/>
      <c r="C156" s="234">
        <f>YEAR(Table5[[#This Row],[Date]])</f>
        <v>2025</v>
      </c>
      <c r="D156" s="234"/>
      <c r="E156" s="234"/>
      <c r="F156" s="235" t="str">
        <f>TEXT(Table5[[#This Row],[Date]],"mmm-yy")</f>
        <v>Aug-25</v>
      </c>
      <c r="G156" s="234">
        <f t="shared" si="7"/>
        <v>31</v>
      </c>
      <c r="H156" s="122">
        <f t="shared" si="8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34">
        <f>YEAR(Table5[[#This Row],[Date]])+IF(MONTH(Table5[[#This Row],[Date]])&gt;=4,1,0)</f>
        <v>2026</v>
      </c>
      <c r="B157" s="234"/>
      <c r="C157" s="234">
        <f>YEAR(Table5[[#This Row],[Date]])</f>
        <v>2025</v>
      </c>
      <c r="D157" s="234"/>
      <c r="E157" s="234"/>
      <c r="F157" s="235" t="str">
        <f>TEXT(Table5[[#This Row],[Date]],"mmm-yy")</f>
        <v>Aug-25</v>
      </c>
      <c r="G157" s="234">
        <f t="shared" si="7"/>
        <v>31</v>
      </c>
      <c r="H157" s="122">
        <f t="shared" si="8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34">
        <f>YEAR(Table5[[#This Row],[Date]])+IF(MONTH(Table5[[#This Row],[Date]])&gt;=4,1,0)</f>
        <v>2026</v>
      </c>
      <c r="B158" s="234"/>
      <c r="C158" s="234">
        <f>YEAR(Table5[[#This Row],[Date]])</f>
        <v>2025</v>
      </c>
      <c r="D158" s="234"/>
      <c r="E158" s="234"/>
      <c r="F158" s="235" t="str">
        <f>TEXT(Table5[[#This Row],[Date]],"mmm-yy")</f>
        <v>Sep-25</v>
      </c>
      <c r="G158" s="234">
        <f t="shared" si="7"/>
        <v>30</v>
      </c>
      <c r="H158" s="122">
        <f t="shared" si="8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34">
        <f>YEAR(Table5[[#This Row],[Date]])+IF(MONTH(Table5[[#This Row],[Date]])&gt;=4,1,0)</f>
        <v>2026</v>
      </c>
      <c r="B159" s="234"/>
      <c r="C159" s="234">
        <f>YEAR(Table5[[#This Row],[Date]])</f>
        <v>2025</v>
      </c>
      <c r="D159" s="234"/>
      <c r="E159" s="234"/>
      <c r="F159" s="235" t="str">
        <f>TEXT(Table5[[#This Row],[Date]],"mmm-yy")</f>
        <v>Sep-25</v>
      </c>
      <c r="G159" s="234">
        <f t="shared" si="7"/>
        <v>30</v>
      </c>
      <c r="H159" s="122">
        <f t="shared" si="8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34">
        <f>YEAR(Table5[[#This Row],[Date]])+IF(MONTH(Table5[[#This Row],[Date]])&gt;=4,1,0)</f>
        <v>2026</v>
      </c>
      <c r="B160" s="234"/>
      <c r="C160" s="234">
        <f>YEAR(Table5[[#This Row],[Date]])</f>
        <v>2025</v>
      </c>
      <c r="D160" s="234"/>
      <c r="E160" s="234"/>
      <c r="F160" s="235" t="str">
        <f>TEXT(Table5[[#This Row],[Date]],"mmm-yy")</f>
        <v>Sep-25</v>
      </c>
      <c r="G160" s="234">
        <f t="shared" si="7"/>
        <v>30</v>
      </c>
      <c r="H160" s="122">
        <f t="shared" si="8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34">
        <f>YEAR(Table5[[#This Row],[Date]])+IF(MONTH(Table5[[#This Row],[Date]])&gt;=4,1,0)</f>
        <v>2026</v>
      </c>
      <c r="B161" s="234"/>
      <c r="C161" s="234">
        <f>YEAR(Table5[[#This Row],[Date]])</f>
        <v>2025</v>
      </c>
      <c r="D161" s="234"/>
      <c r="E161" s="234"/>
      <c r="F161" s="235" t="str">
        <f>TEXT(Table5[[#This Row],[Date]],"mmm-yy")</f>
        <v>Sep-25</v>
      </c>
      <c r="G161" s="234">
        <f t="shared" si="7"/>
        <v>30</v>
      </c>
      <c r="H161" s="122">
        <f t="shared" si="8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34">
        <f>YEAR(Table5[[#This Row],[Date]])+IF(MONTH(Table5[[#This Row],[Date]])&gt;=4,1,0)</f>
        <v>2026</v>
      </c>
      <c r="B162" s="234"/>
      <c r="C162" s="234">
        <f>YEAR(Table5[[#This Row],[Date]])</f>
        <v>2025</v>
      </c>
      <c r="D162" s="234"/>
      <c r="E162" s="234"/>
      <c r="F162" s="235" t="str">
        <f>TEXT(Table5[[#This Row],[Date]],"mmm-yy")</f>
        <v>Sep-25</v>
      </c>
      <c r="G162" s="234">
        <f t="shared" si="7"/>
        <v>30</v>
      </c>
      <c r="H162" s="122">
        <f t="shared" si="8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34">
        <f>YEAR(Table5[[#This Row],[Date]])+IF(MONTH(Table5[[#This Row],[Date]])&gt;=4,1,0)</f>
        <v>2026</v>
      </c>
      <c r="B163" s="234"/>
      <c r="C163" s="234">
        <f>YEAR(Table5[[#This Row],[Date]])</f>
        <v>2025</v>
      </c>
      <c r="D163" s="234"/>
      <c r="E163" s="234"/>
      <c r="F163" s="235" t="str">
        <f>TEXT(Table5[[#This Row],[Date]],"mmm-yy")</f>
        <v>Sep-25</v>
      </c>
      <c r="G163" s="234">
        <f t="shared" si="7"/>
        <v>30</v>
      </c>
      <c r="H163" s="122">
        <f t="shared" si="8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34">
        <f>YEAR(Table5[[#This Row],[Date]])+IF(MONTH(Table5[[#This Row],[Date]])&gt;=4,1,0)</f>
        <v>2026</v>
      </c>
      <c r="B164" s="234"/>
      <c r="C164" s="234">
        <f>YEAR(Table5[[#This Row],[Date]])</f>
        <v>2025</v>
      </c>
      <c r="D164" s="234"/>
      <c r="E164" s="234"/>
      <c r="F164" s="235" t="str">
        <f>TEXT(Table5[[#This Row],[Date]],"mmm-yy")</f>
        <v>Sep-25</v>
      </c>
      <c r="G164" s="234">
        <f t="shared" si="7"/>
        <v>30</v>
      </c>
      <c r="H164" s="122">
        <f t="shared" si="8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34">
        <f>YEAR(Table5[[#This Row],[Date]])+IF(MONTH(Table5[[#This Row],[Date]])&gt;=4,1,0)</f>
        <v>2026</v>
      </c>
      <c r="B165" s="234"/>
      <c r="C165" s="234">
        <f>YEAR(Table5[[#This Row],[Date]])</f>
        <v>2025</v>
      </c>
      <c r="D165" s="234"/>
      <c r="E165" s="234"/>
      <c r="F165" s="235" t="str">
        <f>TEXT(Table5[[#This Row],[Date]],"mmm-yy")</f>
        <v>Sep-25</v>
      </c>
      <c r="G165" s="234">
        <f t="shared" si="7"/>
        <v>30</v>
      </c>
      <c r="H165" s="122">
        <f t="shared" si="8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34">
        <f>YEAR(Table5[[#This Row],[Date]])+IF(MONTH(Table5[[#This Row],[Date]])&gt;=4,1,0)</f>
        <v>2026</v>
      </c>
      <c r="B166" s="234"/>
      <c r="C166" s="234">
        <f>YEAR(Table5[[#This Row],[Date]])</f>
        <v>2025</v>
      </c>
      <c r="D166" s="234"/>
      <c r="E166" s="234"/>
      <c r="F166" s="235" t="str">
        <f>TEXT(Table5[[#This Row],[Date]],"mmm-yy")</f>
        <v>Sep-25</v>
      </c>
      <c r="G166" s="234">
        <f t="shared" si="7"/>
        <v>30</v>
      </c>
      <c r="H166" s="122">
        <f t="shared" si="8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34">
        <f>YEAR(Table5[[#This Row],[Date]])+IF(MONTH(Table5[[#This Row],[Date]])&gt;=4,1,0)</f>
        <v>2026</v>
      </c>
      <c r="B167" s="234"/>
      <c r="C167" s="234">
        <f>YEAR(Table5[[#This Row],[Date]])</f>
        <v>2025</v>
      </c>
      <c r="D167" s="234"/>
      <c r="E167" s="234"/>
      <c r="F167" s="235" t="str">
        <f>TEXT(Table5[[#This Row],[Date]],"mmm-yy")</f>
        <v>Sep-25</v>
      </c>
      <c r="G167" s="234">
        <f t="shared" si="7"/>
        <v>30</v>
      </c>
      <c r="H167" s="122">
        <f t="shared" si="8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34">
        <f>YEAR(Table5[[#This Row],[Date]])+IF(MONTH(Table5[[#This Row],[Date]])&gt;=4,1,0)</f>
        <v>2026</v>
      </c>
      <c r="B168" s="234"/>
      <c r="C168" s="234">
        <f>YEAR(Table5[[#This Row],[Date]])</f>
        <v>2025</v>
      </c>
      <c r="D168" s="234"/>
      <c r="E168" s="234"/>
      <c r="F168" s="235" t="str">
        <f>TEXT(Table5[[#This Row],[Date]],"mmm-yy")</f>
        <v>Sep-25</v>
      </c>
      <c r="G168" s="234">
        <f t="shared" si="7"/>
        <v>30</v>
      </c>
      <c r="H168" s="122">
        <f t="shared" si="8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34">
        <f>YEAR(Table5[[#This Row],[Date]])+IF(MONTH(Table5[[#This Row],[Date]])&gt;=4,1,0)</f>
        <v>2026</v>
      </c>
      <c r="B169" s="234"/>
      <c r="C169" s="234">
        <f>YEAR(Table5[[#This Row],[Date]])</f>
        <v>2025</v>
      </c>
      <c r="D169" s="234"/>
      <c r="E169" s="234"/>
      <c r="F169" s="235" t="str">
        <f>TEXT(Table5[[#This Row],[Date]],"mmm-yy")</f>
        <v>Sep-25</v>
      </c>
      <c r="G169" s="234">
        <f t="shared" si="7"/>
        <v>30</v>
      </c>
      <c r="H169" s="122">
        <f t="shared" si="8"/>
        <v>45912</v>
      </c>
      <c r="I169" s="55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34">
        <f>YEAR(Table5[[#This Row],[Date]])+IF(MONTH(Table5[[#This Row],[Date]])&gt;=4,1,0)</f>
        <v>2026</v>
      </c>
      <c r="B170" s="234"/>
      <c r="C170" s="234">
        <f>YEAR(Table5[[#This Row],[Date]])</f>
        <v>2025</v>
      </c>
      <c r="D170" s="234"/>
      <c r="E170" s="234"/>
      <c r="F170" s="235" t="str">
        <f>TEXT(Table5[[#This Row],[Date]],"mmm-yy")</f>
        <v>Sep-25</v>
      </c>
      <c r="G170" s="234">
        <f t="shared" si="7"/>
        <v>30</v>
      </c>
      <c r="H170" s="122">
        <f t="shared" si="8"/>
        <v>45913</v>
      </c>
      <c r="I170" s="55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34">
        <f>YEAR(Table5[[#This Row],[Date]])+IF(MONTH(Table5[[#This Row],[Date]])&gt;=4,1,0)</f>
        <v>2026</v>
      </c>
      <c r="B171" s="234"/>
      <c r="C171" s="234">
        <f>YEAR(Table5[[#This Row],[Date]])</f>
        <v>2025</v>
      </c>
      <c r="D171" s="234"/>
      <c r="E171" s="234"/>
      <c r="F171" s="235" t="str">
        <f>TEXT(Table5[[#This Row],[Date]],"mmm-yy")</f>
        <v>Sep-25</v>
      </c>
      <c r="G171" s="234">
        <f t="shared" si="7"/>
        <v>30</v>
      </c>
      <c r="H171" s="122">
        <f t="shared" si="8"/>
        <v>45914</v>
      </c>
      <c r="I171" s="55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34">
        <f>YEAR(Table5[[#This Row],[Date]])+IF(MONTH(Table5[[#This Row],[Date]])&gt;=4,1,0)</f>
        <v>2026</v>
      </c>
      <c r="B172" s="234"/>
      <c r="C172" s="234">
        <f>YEAR(Table5[[#This Row],[Date]])</f>
        <v>2025</v>
      </c>
      <c r="D172" s="234"/>
      <c r="E172" s="234"/>
      <c r="F172" s="235" t="str">
        <f>TEXT(Table5[[#This Row],[Date]],"mmm-yy")</f>
        <v>Sep-25</v>
      </c>
      <c r="G172" s="234">
        <f t="shared" si="7"/>
        <v>30</v>
      </c>
      <c r="H172" s="122">
        <f t="shared" si="8"/>
        <v>45915</v>
      </c>
      <c r="I172" s="55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34">
        <f>YEAR(Table5[[#This Row],[Date]])+IF(MONTH(Table5[[#This Row],[Date]])&gt;=4,1,0)</f>
        <v>2026</v>
      </c>
      <c r="B173" s="234"/>
      <c r="C173" s="234">
        <f>YEAR(Table5[[#This Row],[Date]])</f>
        <v>2025</v>
      </c>
      <c r="D173" s="234"/>
      <c r="E173" s="234"/>
      <c r="F173" s="235" t="str">
        <f>TEXT(Table5[[#This Row],[Date]],"mmm-yy")</f>
        <v>Sep-25</v>
      </c>
      <c r="G173" s="234">
        <f t="shared" ref="G173:G236" si="9">DAY(EOMONTH(F173,0))</f>
        <v>30</v>
      </c>
      <c r="H173" s="122">
        <f t="shared" si="8"/>
        <v>45916</v>
      </c>
      <c r="I173" s="55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34">
        <f>YEAR(Table5[[#This Row],[Date]])+IF(MONTH(Table5[[#This Row],[Date]])&gt;=4,1,0)</f>
        <v>2026</v>
      </c>
      <c r="B174" s="234"/>
      <c r="C174" s="234">
        <f>YEAR(Table5[[#This Row],[Date]])</f>
        <v>2025</v>
      </c>
      <c r="D174" s="234"/>
      <c r="E174" s="234"/>
      <c r="F174" s="235" t="str">
        <f>TEXT(Table5[[#This Row],[Date]],"mmm-yy")</f>
        <v>Sep-25</v>
      </c>
      <c r="G174" s="234">
        <f t="shared" si="9"/>
        <v>30</v>
      </c>
      <c r="H174" s="122">
        <f t="shared" si="8"/>
        <v>45917</v>
      </c>
      <c r="I174" s="55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34">
        <f>YEAR(Table5[[#This Row],[Date]])+IF(MONTH(Table5[[#This Row],[Date]])&gt;=4,1,0)</f>
        <v>2026</v>
      </c>
      <c r="B175" s="234"/>
      <c r="C175" s="234">
        <f>YEAR(Table5[[#This Row],[Date]])</f>
        <v>2025</v>
      </c>
      <c r="D175" s="234"/>
      <c r="E175" s="234"/>
      <c r="F175" s="235" t="str">
        <f>TEXT(Table5[[#This Row],[Date]],"mmm-yy")</f>
        <v>Sep-25</v>
      </c>
      <c r="G175" s="234">
        <f t="shared" si="9"/>
        <v>30</v>
      </c>
      <c r="H175" s="122">
        <f t="shared" si="8"/>
        <v>45918</v>
      </c>
      <c r="I175" s="55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34">
        <f>YEAR(Table5[[#This Row],[Date]])+IF(MONTH(Table5[[#This Row],[Date]])&gt;=4,1,0)</f>
        <v>2026</v>
      </c>
      <c r="B176" s="234"/>
      <c r="C176" s="234">
        <f>YEAR(Table5[[#This Row],[Date]])</f>
        <v>2025</v>
      </c>
      <c r="D176" s="234"/>
      <c r="E176" s="234"/>
      <c r="F176" s="235" t="str">
        <f>TEXT(Table5[[#This Row],[Date]],"mmm-yy")</f>
        <v>Sep-25</v>
      </c>
      <c r="G176" s="234">
        <f t="shared" si="9"/>
        <v>30</v>
      </c>
      <c r="H176" s="122">
        <f t="shared" si="8"/>
        <v>45919</v>
      </c>
      <c r="I176" s="55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34">
        <f>YEAR(Table5[[#This Row],[Date]])+IF(MONTH(Table5[[#This Row],[Date]])&gt;=4,1,0)</f>
        <v>2026</v>
      </c>
      <c r="B177" s="234"/>
      <c r="C177" s="234">
        <f>YEAR(Table5[[#This Row],[Date]])</f>
        <v>2025</v>
      </c>
      <c r="D177" s="234"/>
      <c r="E177" s="234"/>
      <c r="F177" s="235" t="str">
        <f>TEXT(Table5[[#This Row],[Date]],"mmm-yy")</f>
        <v>Sep-25</v>
      </c>
      <c r="G177" s="234">
        <f t="shared" si="9"/>
        <v>30</v>
      </c>
      <c r="H177" s="122">
        <f t="shared" si="8"/>
        <v>45920</v>
      </c>
      <c r="I177" s="55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34">
        <f>YEAR(Table5[[#This Row],[Date]])+IF(MONTH(Table5[[#This Row],[Date]])&gt;=4,1,0)</f>
        <v>2026</v>
      </c>
      <c r="B178" s="234"/>
      <c r="C178" s="234">
        <f>YEAR(Table5[[#This Row],[Date]])</f>
        <v>2025</v>
      </c>
      <c r="D178" s="234"/>
      <c r="E178" s="234"/>
      <c r="F178" s="235" t="str">
        <f>TEXT(Table5[[#This Row],[Date]],"mmm-yy")</f>
        <v>Sep-25</v>
      </c>
      <c r="G178" s="234">
        <f t="shared" si="9"/>
        <v>30</v>
      </c>
      <c r="H178" s="122">
        <f t="shared" si="8"/>
        <v>45921</v>
      </c>
      <c r="I178" s="55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34">
        <f>YEAR(Table5[[#This Row],[Date]])+IF(MONTH(Table5[[#This Row],[Date]])&gt;=4,1,0)</f>
        <v>2026</v>
      </c>
      <c r="B179" s="234"/>
      <c r="C179" s="234">
        <f>YEAR(Table5[[#This Row],[Date]])</f>
        <v>2025</v>
      </c>
      <c r="D179" s="234"/>
      <c r="E179" s="234"/>
      <c r="F179" s="235" t="str">
        <f>TEXT(Table5[[#This Row],[Date]],"mmm-yy")</f>
        <v>Sep-25</v>
      </c>
      <c r="G179" s="234">
        <f t="shared" si="9"/>
        <v>30</v>
      </c>
      <c r="H179" s="122">
        <f t="shared" si="8"/>
        <v>45922</v>
      </c>
      <c r="I179" s="55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34">
        <f>YEAR(Table5[[#This Row],[Date]])+IF(MONTH(Table5[[#This Row],[Date]])&gt;=4,1,0)</f>
        <v>2026</v>
      </c>
      <c r="B180" s="234"/>
      <c r="C180" s="234">
        <f>YEAR(Table5[[#This Row],[Date]])</f>
        <v>2025</v>
      </c>
      <c r="D180" s="234"/>
      <c r="E180" s="234"/>
      <c r="F180" s="235" t="str">
        <f>TEXT(Table5[[#This Row],[Date]],"mmm-yy")</f>
        <v>Sep-25</v>
      </c>
      <c r="G180" s="234">
        <f t="shared" si="9"/>
        <v>30</v>
      </c>
      <c r="H180" s="122">
        <f t="shared" si="8"/>
        <v>45923</v>
      </c>
      <c r="I180" s="55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34">
        <f>YEAR(Table5[[#This Row],[Date]])+IF(MONTH(Table5[[#This Row],[Date]])&gt;=4,1,0)</f>
        <v>2026</v>
      </c>
      <c r="B181" s="234"/>
      <c r="C181" s="234">
        <f>YEAR(Table5[[#This Row],[Date]])</f>
        <v>2025</v>
      </c>
      <c r="D181" s="234"/>
      <c r="E181" s="234"/>
      <c r="F181" s="235" t="str">
        <f>TEXT(Table5[[#This Row],[Date]],"mmm-yy")</f>
        <v>Sep-25</v>
      </c>
      <c r="G181" s="234">
        <f t="shared" si="9"/>
        <v>30</v>
      </c>
      <c r="H181" s="122">
        <f t="shared" si="8"/>
        <v>45924</v>
      </c>
      <c r="I181" s="55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34">
        <f>YEAR(Table5[[#This Row],[Date]])+IF(MONTH(Table5[[#This Row],[Date]])&gt;=4,1,0)</f>
        <v>2026</v>
      </c>
      <c r="B182" s="234"/>
      <c r="C182" s="234">
        <f>YEAR(Table5[[#This Row],[Date]])</f>
        <v>2025</v>
      </c>
      <c r="D182" s="234"/>
      <c r="E182" s="234"/>
      <c r="F182" s="235" t="str">
        <f>TEXT(Table5[[#This Row],[Date]],"mmm-yy")</f>
        <v>Sep-25</v>
      </c>
      <c r="G182" s="234">
        <f t="shared" si="9"/>
        <v>30</v>
      </c>
      <c r="H182" s="122">
        <f t="shared" si="8"/>
        <v>45925</v>
      </c>
      <c r="I182" s="55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34">
        <f>YEAR(Table5[[#This Row],[Date]])+IF(MONTH(Table5[[#This Row],[Date]])&gt;=4,1,0)</f>
        <v>2026</v>
      </c>
      <c r="B183" s="234"/>
      <c r="C183" s="234">
        <f>YEAR(Table5[[#This Row],[Date]])</f>
        <v>2025</v>
      </c>
      <c r="D183" s="234"/>
      <c r="E183" s="234"/>
      <c r="F183" s="235" t="str">
        <f>TEXT(Table5[[#This Row],[Date]],"mmm-yy")</f>
        <v>Sep-25</v>
      </c>
      <c r="G183" s="234">
        <f t="shared" si="9"/>
        <v>30</v>
      </c>
      <c r="H183" s="122">
        <f t="shared" si="8"/>
        <v>45926</v>
      </c>
      <c r="I183" s="55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34">
        <f>YEAR(Table5[[#This Row],[Date]])+IF(MONTH(Table5[[#This Row],[Date]])&gt;=4,1,0)</f>
        <v>2026</v>
      </c>
      <c r="B184" s="234"/>
      <c r="C184" s="234">
        <f>YEAR(Table5[[#This Row],[Date]])</f>
        <v>2025</v>
      </c>
      <c r="D184" s="234"/>
      <c r="E184" s="234"/>
      <c r="F184" s="235" t="str">
        <f>TEXT(Table5[[#This Row],[Date]],"mmm-yy")</f>
        <v>Sep-25</v>
      </c>
      <c r="G184" s="234">
        <f t="shared" si="9"/>
        <v>30</v>
      </c>
      <c r="H184" s="122">
        <f t="shared" si="8"/>
        <v>45927</v>
      </c>
      <c r="I184" s="55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34">
        <f>YEAR(Table5[[#This Row],[Date]])+IF(MONTH(Table5[[#This Row],[Date]])&gt;=4,1,0)</f>
        <v>2026</v>
      </c>
      <c r="B185" s="234"/>
      <c r="C185" s="234">
        <f>YEAR(Table5[[#This Row],[Date]])</f>
        <v>2025</v>
      </c>
      <c r="D185" s="234"/>
      <c r="E185" s="234"/>
      <c r="F185" s="235" t="str">
        <f>TEXT(Table5[[#This Row],[Date]],"mmm-yy")</f>
        <v>Sep-25</v>
      </c>
      <c r="G185" s="234">
        <f t="shared" si="9"/>
        <v>30</v>
      </c>
      <c r="H185" s="122">
        <f t="shared" si="8"/>
        <v>45928</v>
      </c>
      <c r="I185" s="55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34">
        <f>YEAR(Table5[[#This Row],[Date]])+IF(MONTH(Table5[[#This Row],[Date]])&gt;=4,1,0)</f>
        <v>2026</v>
      </c>
      <c r="B186" s="234"/>
      <c r="C186" s="234">
        <f>YEAR(Table5[[#This Row],[Date]])</f>
        <v>2025</v>
      </c>
      <c r="D186" s="234"/>
      <c r="E186" s="234"/>
      <c r="F186" s="235" t="str">
        <f>TEXT(Table5[[#This Row],[Date]],"mmm-yy")</f>
        <v>Sep-25</v>
      </c>
      <c r="G186" s="234">
        <f t="shared" si="9"/>
        <v>30</v>
      </c>
      <c r="H186" s="122">
        <f t="shared" si="8"/>
        <v>45929</v>
      </c>
      <c r="I186" s="55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34">
        <f>YEAR(Table5[[#This Row],[Date]])+IF(MONTH(Table5[[#This Row],[Date]])&gt;=4,1,0)</f>
        <v>2026</v>
      </c>
      <c r="B187" s="234"/>
      <c r="C187" s="234">
        <f>YEAR(Table5[[#This Row],[Date]])</f>
        <v>2025</v>
      </c>
      <c r="D187" s="234"/>
      <c r="E187" s="234"/>
      <c r="F187" s="235" t="str">
        <f>TEXT(Table5[[#This Row],[Date]],"mmm-yy")</f>
        <v>Sep-25</v>
      </c>
      <c r="G187" s="234">
        <f t="shared" si="9"/>
        <v>30</v>
      </c>
      <c r="H187" s="122">
        <f t="shared" si="8"/>
        <v>45930</v>
      </c>
      <c r="I187" s="55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34">
        <f>YEAR(Table5[[#This Row],[Date]])+IF(MONTH(Table5[[#This Row],[Date]])&gt;=4,1,0)</f>
        <v>2026</v>
      </c>
      <c r="B188" s="234"/>
      <c r="C188" s="234">
        <f>YEAR(Table5[[#This Row],[Date]])</f>
        <v>2025</v>
      </c>
      <c r="D188" s="234"/>
      <c r="E188" s="234"/>
      <c r="F188" s="235" t="str">
        <f>TEXT(Table5[[#This Row],[Date]],"mmm-yy")</f>
        <v>Oct-25</v>
      </c>
      <c r="G188" s="234">
        <f t="shared" si="9"/>
        <v>31</v>
      </c>
      <c r="H188" s="122">
        <f t="shared" si="8"/>
        <v>45931</v>
      </c>
      <c r="I188" s="55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34">
        <f>YEAR(Table5[[#This Row],[Date]])+IF(MONTH(Table5[[#This Row],[Date]])&gt;=4,1,0)</f>
        <v>2026</v>
      </c>
      <c r="B189" s="234"/>
      <c r="C189" s="234">
        <f>YEAR(Table5[[#This Row],[Date]])</f>
        <v>2025</v>
      </c>
      <c r="D189" s="234"/>
      <c r="E189" s="234"/>
      <c r="F189" s="235" t="str">
        <f>TEXT(Table5[[#This Row],[Date]],"mmm-yy")</f>
        <v>Oct-25</v>
      </c>
      <c r="G189" s="234">
        <f t="shared" si="9"/>
        <v>31</v>
      </c>
      <c r="H189" s="122">
        <f t="shared" si="8"/>
        <v>45932</v>
      </c>
      <c r="I189" s="55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34">
        <f>YEAR(Table5[[#This Row],[Date]])+IF(MONTH(Table5[[#This Row],[Date]])&gt;=4,1,0)</f>
        <v>2026</v>
      </c>
      <c r="B190" s="234"/>
      <c r="C190" s="234">
        <f>YEAR(Table5[[#This Row],[Date]])</f>
        <v>2025</v>
      </c>
      <c r="D190" s="234"/>
      <c r="E190" s="234"/>
      <c r="F190" s="235" t="str">
        <f>TEXT(Table5[[#This Row],[Date]],"mmm-yy")</f>
        <v>Oct-25</v>
      </c>
      <c r="G190" s="234">
        <f t="shared" si="9"/>
        <v>31</v>
      </c>
      <c r="H190" s="122">
        <f t="shared" si="8"/>
        <v>45933</v>
      </c>
      <c r="I190" s="55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34">
        <f>YEAR(Table5[[#This Row],[Date]])+IF(MONTH(Table5[[#This Row],[Date]])&gt;=4,1,0)</f>
        <v>2026</v>
      </c>
      <c r="B191" s="234"/>
      <c r="C191" s="234">
        <f>YEAR(Table5[[#This Row],[Date]])</f>
        <v>2025</v>
      </c>
      <c r="D191" s="234"/>
      <c r="E191" s="234"/>
      <c r="F191" s="235" t="str">
        <f>TEXT(Table5[[#This Row],[Date]],"mmm-yy")</f>
        <v>Oct-25</v>
      </c>
      <c r="G191" s="234">
        <f t="shared" si="9"/>
        <v>31</v>
      </c>
      <c r="H191" s="122">
        <f t="shared" si="8"/>
        <v>45934</v>
      </c>
      <c r="I191" s="55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34">
        <f>YEAR(Table5[[#This Row],[Date]])+IF(MONTH(Table5[[#This Row],[Date]])&gt;=4,1,0)</f>
        <v>2026</v>
      </c>
      <c r="B192" s="234"/>
      <c r="C192" s="234">
        <f>YEAR(Table5[[#This Row],[Date]])</f>
        <v>2025</v>
      </c>
      <c r="D192" s="234"/>
      <c r="E192" s="234"/>
      <c r="F192" s="235" t="str">
        <f>TEXT(Table5[[#This Row],[Date]],"mmm-yy")</f>
        <v>Oct-25</v>
      </c>
      <c r="G192" s="234">
        <f t="shared" si="9"/>
        <v>31</v>
      </c>
      <c r="H192" s="122">
        <f t="shared" si="8"/>
        <v>45935</v>
      </c>
      <c r="I192" s="55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34">
        <f>YEAR(Table5[[#This Row],[Date]])+IF(MONTH(Table5[[#This Row],[Date]])&gt;=4,1,0)</f>
        <v>2026</v>
      </c>
      <c r="B193" s="234"/>
      <c r="C193" s="234">
        <f>YEAR(Table5[[#This Row],[Date]])</f>
        <v>2025</v>
      </c>
      <c r="D193" s="234"/>
      <c r="E193" s="234"/>
      <c r="F193" s="235" t="str">
        <f>TEXT(Table5[[#This Row],[Date]],"mmm-yy")</f>
        <v>Oct-25</v>
      </c>
      <c r="G193" s="234">
        <f t="shared" si="9"/>
        <v>31</v>
      </c>
      <c r="H193" s="122">
        <f t="shared" si="8"/>
        <v>45936</v>
      </c>
      <c r="I193" s="55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34">
        <f>YEAR(Table5[[#This Row],[Date]])+IF(MONTH(Table5[[#This Row],[Date]])&gt;=4,1,0)</f>
        <v>2026</v>
      </c>
      <c r="B194" s="234"/>
      <c r="C194" s="234">
        <f>YEAR(Table5[[#This Row],[Date]])</f>
        <v>2025</v>
      </c>
      <c r="D194" s="234"/>
      <c r="E194" s="234"/>
      <c r="F194" s="235" t="str">
        <f>TEXT(Table5[[#This Row],[Date]],"mmm-yy")</f>
        <v>Oct-25</v>
      </c>
      <c r="G194" s="234">
        <f t="shared" si="9"/>
        <v>31</v>
      </c>
      <c r="H194" s="122">
        <f t="shared" si="8"/>
        <v>45937</v>
      </c>
      <c r="I194" s="55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34">
        <f>YEAR(Table5[[#This Row],[Date]])+IF(MONTH(Table5[[#This Row],[Date]])&gt;=4,1,0)</f>
        <v>2026</v>
      </c>
      <c r="B195" s="234"/>
      <c r="C195" s="234">
        <f>YEAR(Table5[[#This Row],[Date]])</f>
        <v>2025</v>
      </c>
      <c r="D195" s="234"/>
      <c r="E195" s="234"/>
      <c r="F195" s="235" t="str">
        <f>TEXT(Table5[[#This Row],[Date]],"mmm-yy")</f>
        <v>Oct-25</v>
      </c>
      <c r="G195" s="234">
        <f t="shared" si="9"/>
        <v>31</v>
      </c>
      <c r="H195" s="122">
        <f t="shared" si="8"/>
        <v>45938</v>
      </c>
      <c r="I195" s="55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34">
        <f>YEAR(Table5[[#This Row],[Date]])+IF(MONTH(Table5[[#This Row],[Date]])&gt;=4,1,0)</f>
        <v>2026</v>
      </c>
      <c r="B196" s="234"/>
      <c r="C196" s="234">
        <f>YEAR(Table5[[#This Row],[Date]])</f>
        <v>2025</v>
      </c>
      <c r="D196" s="234"/>
      <c r="E196" s="234"/>
      <c r="F196" s="235" t="str">
        <f>TEXT(Table5[[#This Row],[Date]],"mmm-yy")</f>
        <v>Oct-25</v>
      </c>
      <c r="G196" s="234">
        <f t="shared" si="9"/>
        <v>31</v>
      </c>
      <c r="H196" s="122">
        <f t="shared" si="8"/>
        <v>45939</v>
      </c>
      <c r="I196" s="55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34">
        <f>YEAR(Table5[[#This Row],[Date]])+IF(MONTH(Table5[[#This Row],[Date]])&gt;=4,1,0)</f>
        <v>2026</v>
      </c>
      <c r="B197" s="234"/>
      <c r="C197" s="234">
        <f>YEAR(Table5[[#This Row],[Date]])</f>
        <v>2025</v>
      </c>
      <c r="D197" s="234"/>
      <c r="E197" s="234"/>
      <c r="F197" s="235" t="str">
        <f>TEXT(Table5[[#This Row],[Date]],"mmm-yy")</f>
        <v>Oct-25</v>
      </c>
      <c r="G197" s="234">
        <f t="shared" si="9"/>
        <v>31</v>
      </c>
      <c r="H197" s="122">
        <f t="shared" ref="H197:H260" si="10">H196+1</f>
        <v>45940</v>
      </c>
      <c r="I197" s="55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34">
        <f>YEAR(Table5[[#This Row],[Date]])+IF(MONTH(Table5[[#This Row],[Date]])&gt;=4,1,0)</f>
        <v>2026</v>
      </c>
      <c r="B198" s="234"/>
      <c r="C198" s="234">
        <f>YEAR(Table5[[#This Row],[Date]])</f>
        <v>2025</v>
      </c>
      <c r="D198" s="234"/>
      <c r="E198" s="234"/>
      <c r="F198" s="235" t="str">
        <f>TEXT(Table5[[#This Row],[Date]],"mmm-yy")</f>
        <v>Oct-25</v>
      </c>
      <c r="G198" s="234">
        <f t="shared" si="9"/>
        <v>31</v>
      </c>
      <c r="H198" s="122">
        <f t="shared" si="10"/>
        <v>45941</v>
      </c>
      <c r="I198" s="55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34">
        <f>YEAR(Table5[[#This Row],[Date]])+IF(MONTH(Table5[[#This Row],[Date]])&gt;=4,1,0)</f>
        <v>2026</v>
      </c>
      <c r="B199" s="234"/>
      <c r="C199" s="234">
        <f>YEAR(Table5[[#This Row],[Date]])</f>
        <v>2025</v>
      </c>
      <c r="D199" s="234"/>
      <c r="E199" s="234"/>
      <c r="F199" s="235" t="str">
        <f>TEXT(Table5[[#This Row],[Date]],"mmm-yy")</f>
        <v>Oct-25</v>
      </c>
      <c r="G199" s="234">
        <f t="shared" si="9"/>
        <v>31</v>
      </c>
      <c r="H199" s="122">
        <f t="shared" si="10"/>
        <v>45942</v>
      </c>
      <c r="I199" s="55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34">
        <f>YEAR(Table5[[#This Row],[Date]])+IF(MONTH(Table5[[#This Row],[Date]])&gt;=4,1,0)</f>
        <v>2026</v>
      </c>
      <c r="B200" s="234"/>
      <c r="C200" s="234">
        <f>YEAR(Table5[[#This Row],[Date]])</f>
        <v>2025</v>
      </c>
      <c r="D200" s="234"/>
      <c r="E200" s="234"/>
      <c r="F200" s="235" t="str">
        <f>TEXT(Table5[[#This Row],[Date]],"mmm-yy")</f>
        <v>Oct-25</v>
      </c>
      <c r="G200" s="234">
        <f t="shared" si="9"/>
        <v>31</v>
      </c>
      <c r="H200" s="122">
        <f t="shared" si="10"/>
        <v>45943</v>
      </c>
      <c r="I200" s="55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34">
        <f>YEAR(Table5[[#This Row],[Date]])+IF(MONTH(Table5[[#This Row],[Date]])&gt;=4,1,0)</f>
        <v>2026</v>
      </c>
      <c r="B201" s="234"/>
      <c r="C201" s="234">
        <f>YEAR(Table5[[#This Row],[Date]])</f>
        <v>2025</v>
      </c>
      <c r="D201" s="234"/>
      <c r="E201" s="234"/>
      <c r="F201" s="235" t="str">
        <f>TEXT(Table5[[#This Row],[Date]],"mmm-yy")</f>
        <v>Oct-25</v>
      </c>
      <c r="G201" s="234">
        <f t="shared" si="9"/>
        <v>31</v>
      </c>
      <c r="H201" s="122">
        <f t="shared" si="10"/>
        <v>45944</v>
      </c>
      <c r="I201" s="55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34">
        <f>YEAR(Table5[[#This Row],[Date]])+IF(MONTH(Table5[[#This Row],[Date]])&gt;=4,1,0)</f>
        <v>2026</v>
      </c>
      <c r="B202" s="234"/>
      <c r="C202" s="234">
        <f>YEAR(Table5[[#This Row],[Date]])</f>
        <v>2025</v>
      </c>
      <c r="D202" s="234"/>
      <c r="E202" s="234"/>
      <c r="F202" s="235" t="str">
        <f>TEXT(Table5[[#This Row],[Date]],"mmm-yy")</f>
        <v>Oct-25</v>
      </c>
      <c r="G202" s="234">
        <f t="shared" si="9"/>
        <v>31</v>
      </c>
      <c r="H202" s="122">
        <f t="shared" si="10"/>
        <v>45945</v>
      </c>
      <c r="I202" s="55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34">
        <f>YEAR(Table5[[#This Row],[Date]])+IF(MONTH(Table5[[#This Row],[Date]])&gt;=4,1,0)</f>
        <v>2026</v>
      </c>
      <c r="B203" s="234"/>
      <c r="C203" s="234">
        <f>YEAR(Table5[[#This Row],[Date]])</f>
        <v>2025</v>
      </c>
      <c r="D203" s="234"/>
      <c r="E203" s="234"/>
      <c r="F203" s="235" t="str">
        <f>TEXT(Table5[[#This Row],[Date]],"mmm-yy")</f>
        <v>Oct-25</v>
      </c>
      <c r="G203" s="234">
        <f t="shared" si="9"/>
        <v>31</v>
      </c>
      <c r="H203" s="122">
        <f t="shared" si="10"/>
        <v>45946</v>
      </c>
      <c r="I203" s="55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34">
        <f>YEAR(Table5[[#This Row],[Date]])+IF(MONTH(Table5[[#This Row],[Date]])&gt;=4,1,0)</f>
        <v>2026</v>
      </c>
      <c r="B204" s="234"/>
      <c r="C204" s="234">
        <f>YEAR(Table5[[#This Row],[Date]])</f>
        <v>2025</v>
      </c>
      <c r="D204" s="234"/>
      <c r="E204" s="234"/>
      <c r="F204" s="235" t="str">
        <f>TEXT(Table5[[#This Row],[Date]],"mmm-yy")</f>
        <v>Oct-25</v>
      </c>
      <c r="G204" s="234">
        <f t="shared" si="9"/>
        <v>31</v>
      </c>
      <c r="H204" s="122">
        <f t="shared" si="10"/>
        <v>45947</v>
      </c>
      <c r="I204" s="55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34">
        <f>YEAR(Table5[[#This Row],[Date]])+IF(MONTH(Table5[[#This Row],[Date]])&gt;=4,1,0)</f>
        <v>2026</v>
      </c>
      <c r="B205" s="234"/>
      <c r="C205" s="234">
        <f>YEAR(Table5[[#This Row],[Date]])</f>
        <v>2025</v>
      </c>
      <c r="D205" s="234"/>
      <c r="E205" s="234"/>
      <c r="F205" s="235" t="str">
        <f>TEXT(Table5[[#This Row],[Date]],"mmm-yy")</f>
        <v>Oct-25</v>
      </c>
      <c r="G205" s="234">
        <f t="shared" si="9"/>
        <v>31</v>
      </c>
      <c r="H205" s="122">
        <f t="shared" si="10"/>
        <v>45948</v>
      </c>
      <c r="I205" s="55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34">
        <f>YEAR(Table5[[#This Row],[Date]])+IF(MONTH(Table5[[#This Row],[Date]])&gt;=4,1,0)</f>
        <v>2026</v>
      </c>
      <c r="B206" s="234"/>
      <c r="C206" s="234">
        <f>YEAR(Table5[[#This Row],[Date]])</f>
        <v>2025</v>
      </c>
      <c r="D206" s="234"/>
      <c r="E206" s="234"/>
      <c r="F206" s="235" t="str">
        <f>TEXT(Table5[[#This Row],[Date]],"mmm-yy")</f>
        <v>Oct-25</v>
      </c>
      <c r="G206" s="234">
        <f t="shared" si="9"/>
        <v>31</v>
      </c>
      <c r="H206" s="122">
        <f t="shared" si="10"/>
        <v>45949</v>
      </c>
      <c r="I206" s="55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34">
        <f>YEAR(Table5[[#This Row],[Date]])+IF(MONTH(Table5[[#This Row],[Date]])&gt;=4,1,0)</f>
        <v>2026</v>
      </c>
      <c r="B207" s="234"/>
      <c r="C207" s="234">
        <f>YEAR(Table5[[#This Row],[Date]])</f>
        <v>2025</v>
      </c>
      <c r="D207" s="234"/>
      <c r="E207" s="234"/>
      <c r="F207" s="235" t="str">
        <f>TEXT(Table5[[#This Row],[Date]],"mmm-yy")</f>
        <v>Oct-25</v>
      </c>
      <c r="G207" s="234">
        <f t="shared" si="9"/>
        <v>31</v>
      </c>
      <c r="H207" s="122">
        <f t="shared" si="10"/>
        <v>45950</v>
      </c>
      <c r="I207" s="55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34">
        <f>YEAR(Table5[[#This Row],[Date]])+IF(MONTH(Table5[[#This Row],[Date]])&gt;=4,1,0)</f>
        <v>2026</v>
      </c>
      <c r="B208" s="234"/>
      <c r="C208" s="234">
        <f>YEAR(Table5[[#This Row],[Date]])</f>
        <v>2025</v>
      </c>
      <c r="D208" s="234"/>
      <c r="E208" s="234"/>
      <c r="F208" s="235" t="str">
        <f>TEXT(Table5[[#This Row],[Date]],"mmm-yy")</f>
        <v>Oct-25</v>
      </c>
      <c r="G208" s="234">
        <f t="shared" si="9"/>
        <v>31</v>
      </c>
      <c r="H208" s="122">
        <f t="shared" si="10"/>
        <v>45951</v>
      </c>
      <c r="I208" s="55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34">
        <f>YEAR(Table5[[#This Row],[Date]])+IF(MONTH(Table5[[#This Row],[Date]])&gt;=4,1,0)</f>
        <v>2026</v>
      </c>
      <c r="B209" s="234"/>
      <c r="C209" s="234">
        <f>YEAR(Table5[[#This Row],[Date]])</f>
        <v>2025</v>
      </c>
      <c r="D209" s="234"/>
      <c r="E209" s="234"/>
      <c r="F209" s="235" t="str">
        <f>TEXT(Table5[[#This Row],[Date]],"mmm-yy")</f>
        <v>Oct-25</v>
      </c>
      <c r="G209" s="234">
        <f t="shared" si="9"/>
        <v>31</v>
      </c>
      <c r="H209" s="122">
        <f t="shared" si="10"/>
        <v>45952</v>
      </c>
      <c r="I209" s="55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34">
        <f>YEAR(Table5[[#This Row],[Date]])+IF(MONTH(Table5[[#This Row],[Date]])&gt;=4,1,0)</f>
        <v>2026</v>
      </c>
      <c r="B210" s="234"/>
      <c r="C210" s="234">
        <f>YEAR(Table5[[#This Row],[Date]])</f>
        <v>2025</v>
      </c>
      <c r="D210" s="234"/>
      <c r="E210" s="234"/>
      <c r="F210" s="235" t="str">
        <f>TEXT(Table5[[#This Row],[Date]],"mmm-yy")</f>
        <v>Oct-25</v>
      </c>
      <c r="G210" s="234">
        <f t="shared" si="9"/>
        <v>31</v>
      </c>
      <c r="H210" s="122">
        <f t="shared" si="10"/>
        <v>45953</v>
      </c>
      <c r="I210" s="55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34">
        <f>YEAR(Table5[[#This Row],[Date]])+IF(MONTH(Table5[[#This Row],[Date]])&gt;=4,1,0)</f>
        <v>2026</v>
      </c>
      <c r="B211" s="234"/>
      <c r="C211" s="234">
        <f>YEAR(Table5[[#This Row],[Date]])</f>
        <v>2025</v>
      </c>
      <c r="D211" s="234"/>
      <c r="E211" s="234"/>
      <c r="F211" s="235" t="str">
        <f>TEXT(Table5[[#This Row],[Date]],"mmm-yy")</f>
        <v>Oct-25</v>
      </c>
      <c r="G211" s="234">
        <f t="shared" si="9"/>
        <v>31</v>
      </c>
      <c r="H211" s="122">
        <f t="shared" si="10"/>
        <v>45954</v>
      </c>
      <c r="I211" s="55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34">
        <f>YEAR(Table5[[#This Row],[Date]])+IF(MONTH(Table5[[#This Row],[Date]])&gt;=4,1,0)</f>
        <v>2026</v>
      </c>
      <c r="B212" s="234"/>
      <c r="C212" s="234">
        <f>YEAR(Table5[[#This Row],[Date]])</f>
        <v>2025</v>
      </c>
      <c r="D212" s="234"/>
      <c r="E212" s="234"/>
      <c r="F212" s="235" t="str">
        <f>TEXT(Table5[[#This Row],[Date]],"mmm-yy")</f>
        <v>Oct-25</v>
      </c>
      <c r="G212" s="234">
        <f t="shared" si="9"/>
        <v>31</v>
      </c>
      <c r="H212" s="122">
        <f t="shared" si="10"/>
        <v>45955</v>
      </c>
      <c r="I212" s="55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34">
        <f>YEAR(Table5[[#This Row],[Date]])+IF(MONTH(Table5[[#This Row],[Date]])&gt;=4,1,0)</f>
        <v>2026</v>
      </c>
      <c r="B213" s="234"/>
      <c r="C213" s="234">
        <f>YEAR(Table5[[#This Row],[Date]])</f>
        <v>2025</v>
      </c>
      <c r="D213" s="234"/>
      <c r="E213" s="234"/>
      <c r="F213" s="235" t="str">
        <f>TEXT(Table5[[#This Row],[Date]],"mmm-yy")</f>
        <v>Oct-25</v>
      </c>
      <c r="G213" s="234">
        <f t="shared" si="9"/>
        <v>31</v>
      </c>
      <c r="H213" s="122">
        <f t="shared" si="10"/>
        <v>45956</v>
      </c>
      <c r="I213" s="55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34">
        <f>YEAR(Table5[[#This Row],[Date]])+IF(MONTH(Table5[[#This Row],[Date]])&gt;=4,1,0)</f>
        <v>2026</v>
      </c>
      <c r="B214" s="234"/>
      <c r="C214" s="234">
        <f>YEAR(Table5[[#This Row],[Date]])</f>
        <v>2025</v>
      </c>
      <c r="D214" s="234"/>
      <c r="E214" s="234"/>
      <c r="F214" s="235" t="str">
        <f>TEXT(Table5[[#This Row],[Date]],"mmm-yy")</f>
        <v>Oct-25</v>
      </c>
      <c r="G214" s="234">
        <f t="shared" si="9"/>
        <v>31</v>
      </c>
      <c r="H214" s="122">
        <f t="shared" si="10"/>
        <v>45957</v>
      </c>
      <c r="I214" s="55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34">
        <f>YEAR(Table5[[#This Row],[Date]])+IF(MONTH(Table5[[#This Row],[Date]])&gt;=4,1,0)</f>
        <v>2026</v>
      </c>
      <c r="B215" s="234"/>
      <c r="C215" s="234">
        <f>YEAR(Table5[[#This Row],[Date]])</f>
        <v>2025</v>
      </c>
      <c r="D215" s="234"/>
      <c r="E215" s="234"/>
      <c r="F215" s="235" t="str">
        <f>TEXT(Table5[[#This Row],[Date]],"mmm-yy")</f>
        <v>Oct-25</v>
      </c>
      <c r="G215" s="234">
        <f t="shared" si="9"/>
        <v>31</v>
      </c>
      <c r="H215" s="122">
        <f t="shared" si="10"/>
        <v>45958</v>
      </c>
      <c r="I215" s="55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34">
        <f>YEAR(Table5[[#This Row],[Date]])+IF(MONTH(Table5[[#This Row],[Date]])&gt;=4,1,0)</f>
        <v>2026</v>
      </c>
      <c r="B216" s="234"/>
      <c r="C216" s="234">
        <f>YEAR(Table5[[#This Row],[Date]])</f>
        <v>2025</v>
      </c>
      <c r="D216" s="234"/>
      <c r="E216" s="234"/>
      <c r="F216" s="235" t="str">
        <f>TEXT(Table5[[#This Row],[Date]],"mmm-yy")</f>
        <v>Oct-25</v>
      </c>
      <c r="G216" s="234">
        <f t="shared" si="9"/>
        <v>31</v>
      </c>
      <c r="H216" s="122">
        <f t="shared" si="10"/>
        <v>45959</v>
      </c>
      <c r="I216" s="55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34">
        <f>YEAR(Table5[[#This Row],[Date]])+IF(MONTH(Table5[[#This Row],[Date]])&gt;=4,1,0)</f>
        <v>2026</v>
      </c>
      <c r="B217" s="234"/>
      <c r="C217" s="234">
        <f>YEAR(Table5[[#This Row],[Date]])</f>
        <v>2025</v>
      </c>
      <c r="D217" s="234"/>
      <c r="E217" s="234"/>
      <c r="F217" s="235" t="str">
        <f>TEXT(Table5[[#This Row],[Date]],"mmm-yy")</f>
        <v>Oct-25</v>
      </c>
      <c r="G217" s="234">
        <f t="shared" si="9"/>
        <v>31</v>
      </c>
      <c r="H217" s="122">
        <f t="shared" si="10"/>
        <v>45960</v>
      </c>
      <c r="I217" s="55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34">
        <f>YEAR(Table5[[#This Row],[Date]])+IF(MONTH(Table5[[#This Row],[Date]])&gt;=4,1,0)</f>
        <v>2026</v>
      </c>
      <c r="B218" s="234"/>
      <c r="C218" s="234">
        <f>YEAR(Table5[[#This Row],[Date]])</f>
        <v>2025</v>
      </c>
      <c r="D218" s="234"/>
      <c r="E218" s="234"/>
      <c r="F218" s="235" t="str">
        <f>TEXT(Table5[[#This Row],[Date]],"mmm-yy")</f>
        <v>Oct-25</v>
      </c>
      <c r="G218" s="234">
        <f t="shared" si="9"/>
        <v>31</v>
      </c>
      <c r="H218" s="122">
        <f t="shared" si="10"/>
        <v>45961</v>
      </c>
      <c r="I218" s="55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34">
        <f>YEAR(Table5[[#This Row],[Date]])+IF(MONTH(Table5[[#This Row],[Date]])&gt;=4,1,0)</f>
        <v>2026</v>
      </c>
      <c r="B219" s="234"/>
      <c r="C219" s="234">
        <f>YEAR(Table5[[#This Row],[Date]])</f>
        <v>2025</v>
      </c>
      <c r="D219" s="234"/>
      <c r="E219" s="234"/>
      <c r="F219" s="235" t="str">
        <f>TEXT(Table5[[#This Row],[Date]],"mmm-yy")</f>
        <v>Nov-25</v>
      </c>
      <c r="G219" s="234">
        <f t="shared" si="9"/>
        <v>30</v>
      </c>
      <c r="H219" s="122">
        <f t="shared" si="10"/>
        <v>45962</v>
      </c>
      <c r="I219" s="55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34">
        <f>YEAR(Table5[[#This Row],[Date]])+IF(MONTH(Table5[[#This Row],[Date]])&gt;=4,1,0)</f>
        <v>2026</v>
      </c>
      <c r="B220" s="234"/>
      <c r="C220" s="234">
        <f>YEAR(Table5[[#This Row],[Date]])</f>
        <v>2025</v>
      </c>
      <c r="D220" s="234"/>
      <c r="E220" s="234"/>
      <c r="F220" s="235" t="str">
        <f>TEXT(Table5[[#This Row],[Date]],"mmm-yy")</f>
        <v>Nov-25</v>
      </c>
      <c r="G220" s="234">
        <f t="shared" si="9"/>
        <v>30</v>
      </c>
      <c r="H220" s="122">
        <f t="shared" si="10"/>
        <v>45963</v>
      </c>
      <c r="I220" s="55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34">
        <f>YEAR(Table5[[#This Row],[Date]])+IF(MONTH(Table5[[#This Row],[Date]])&gt;=4,1,0)</f>
        <v>2026</v>
      </c>
      <c r="B221" s="234"/>
      <c r="C221" s="234">
        <f>YEAR(Table5[[#This Row],[Date]])</f>
        <v>2025</v>
      </c>
      <c r="D221" s="234"/>
      <c r="E221" s="234"/>
      <c r="F221" s="235" t="str">
        <f>TEXT(Table5[[#This Row],[Date]],"mmm-yy")</f>
        <v>Nov-25</v>
      </c>
      <c r="G221" s="234">
        <f t="shared" si="9"/>
        <v>30</v>
      </c>
      <c r="H221" s="122">
        <f t="shared" si="10"/>
        <v>45964</v>
      </c>
      <c r="I221" s="55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34">
        <f>YEAR(Table5[[#This Row],[Date]])+IF(MONTH(Table5[[#This Row],[Date]])&gt;=4,1,0)</f>
        <v>2026</v>
      </c>
      <c r="B222" s="234"/>
      <c r="C222" s="234">
        <f>YEAR(Table5[[#This Row],[Date]])</f>
        <v>2025</v>
      </c>
      <c r="D222" s="234"/>
      <c r="E222" s="234"/>
      <c r="F222" s="235" t="str">
        <f>TEXT(Table5[[#This Row],[Date]],"mmm-yy")</f>
        <v>Nov-25</v>
      </c>
      <c r="G222" s="234">
        <f t="shared" si="9"/>
        <v>30</v>
      </c>
      <c r="H222" s="122">
        <f t="shared" si="10"/>
        <v>45965</v>
      </c>
      <c r="I222" s="55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34">
        <f>YEAR(Table5[[#This Row],[Date]])+IF(MONTH(Table5[[#This Row],[Date]])&gt;=4,1,0)</f>
        <v>2026</v>
      </c>
      <c r="B223" s="234"/>
      <c r="C223" s="234">
        <f>YEAR(Table5[[#This Row],[Date]])</f>
        <v>2025</v>
      </c>
      <c r="D223" s="234"/>
      <c r="E223" s="234"/>
      <c r="F223" s="235" t="str">
        <f>TEXT(Table5[[#This Row],[Date]],"mmm-yy")</f>
        <v>Nov-25</v>
      </c>
      <c r="G223" s="234">
        <f t="shared" si="9"/>
        <v>30</v>
      </c>
      <c r="H223" s="122">
        <f t="shared" si="10"/>
        <v>45966</v>
      </c>
      <c r="I223" s="55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34">
        <f>YEAR(Table5[[#This Row],[Date]])+IF(MONTH(Table5[[#This Row],[Date]])&gt;=4,1,0)</f>
        <v>2026</v>
      </c>
      <c r="B224" s="234"/>
      <c r="C224" s="234">
        <f>YEAR(Table5[[#This Row],[Date]])</f>
        <v>2025</v>
      </c>
      <c r="D224" s="234"/>
      <c r="E224" s="234"/>
      <c r="F224" s="235" t="str">
        <f>TEXT(Table5[[#This Row],[Date]],"mmm-yy")</f>
        <v>Nov-25</v>
      </c>
      <c r="G224" s="234">
        <f t="shared" si="9"/>
        <v>30</v>
      </c>
      <c r="H224" s="122">
        <f t="shared" si="10"/>
        <v>45967</v>
      </c>
      <c r="I224" s="55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34">
        <f>YEAR(Table5[[#This Row],[Date]])+IF(MONTH(Table5[[#This Row],[Date]])&gt;=4,1,0)</f>
        <v>2026</v>
      </c>
      <c r="B225" s="234"/>
      <c r="C225" s="234">
        <f>YEAR(Table5[[#This Row],[Date]])</f>
        <v>2025</v>
      </c>
      <c r="D225" s="234"/>
      <c r="E225" s="234"/>
      <c r="F225" s="235" t="str">
        <f>TEXT(Table5[[#This Row],[Date]],"mmm-yy")</f>
        <v>Nov-25</v>
      </c>
      <c r="G225" s="234">
        <f t="shared" si="9"/>
        <v>30</v>
      </c>
      <c r="H225" s="122">
        <f t="shared" si="10"/>
        <v>45968</v>
      </c>
      <c r="I225" s="55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34">
        <f>YEAR(Table5[[#This Row],[Date]])+IF(MONTH(Table5[[#This Row],[Date]])&gt;=4,1,0)</f>
        <v>2026</v>
      </c>
      <c r="B226" s="234"/>
      <c r="C226" s="234">
        <f>YEAR(Table5[[#This Row],[Date]])</f>
        <v>2025</v>
      </c>
      <c r="D226" s="234"/>
      <c r="E226" s="234"/>
      <c r="F226" s="235" t="str">
        <f>TEXT(Table5[[#This Row],[Date]],"mmm-yy")</f>
        <v>Nov-25</v>
      </c>
      <c r="G226" s="234">
        <f t="shared" si="9"/>
        <v>30</v>
      </c>
      <c r="H226" s="122">
        <f t="shared" si="10"/>
        <v>45969</v>
      </c>
      <c r="I226" s="55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34">
        <f>YEAR(Table5[[#This Row],[Date]])+IF(MONTH(Table5[[#This Row],[Date]])&gt;=4,1,0)</f>
        <v>2026</v>
      </c>
      <c r="B227" s="234"/>
      <c r="C227" s="234">
        <f>YEAR(Table5[[#This Row],[Date]])</f>
        <v>2025</v>
      </c>
      <c r="D227" s="234"/>
      <c r="E227" s="234"/>
      <c r="F227" s="235" t="str">
        <f>TEXT(Table5[[#This Row],[Date]],"mmm-yy")</f>
        <v>Nov-25</v>
      </c>
      <c r="G227" s="234">
        <f t="shared" si="9"/>
        <v>30</v>
      </c>
      <c r="H227" s="122">
        <f t="shared" si="10"/>
        <v>45970</v>
      </c>
      <c r="I227" s="55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34">
        <f>YEAR(Table5[[#This Row],[Date]])+IF(MONTH(Table5[[#This Row],[Date]])&gt;=4,1,0)</f>
        <v>2026</v>
      </c>
      <c r="B228" s="234"/>
      <c r="C228" s="234">
        <f>YEAR(Table5[[#This Row],[Date]])</f>
        <v>2025</v>
      </c>
      <c r="D228" s="234"/>
      <c r="E228" s="234"/>
      <c r="F228" s="235" t="str">
        <f>TEXT(Table5[[#This Row],[Date]],"mmm-yy")</f>
        <v>Nov-25</v>
      </c>
      <c r="G228" s="234">
        <f t="shared" si="9"/>
        <v>30</v>
      </c>
      <c r="H228" s="122">
        <f t="shared" si="10"/>
        <v>45971</v>
      </c>
      <c r="I228" s="55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34">
        <f>YEAR(Table5[[#This Row],[Date]])+IF(MONTH(Table5[[#This Row],[Date]])&gt;=4,1,0)</f>
        <v>2026</v>
      </c>
      <c r="B229" s="234"/>
      <c r="C229" s="234">
        <f>YEAR(Table5[[#This Row],[Date]])</f>
        <v>2025</v>
      </c>
      <c r="D229" s="234"/>
      <c r="E229" s="234"/>
      <c r="F229" s="235" t="str">
        <f>TEXT(Table5[[#This Row],[Date]],"mmm-yy")</f>
        <v>Nov-25</v>
      </c>
      <c r="G229" s="234">
        <f t="shared" si="9"/>
        <v>30</v>
      </c>
      <c r="H229" s="122">
        <f t="shared" si="10"/>
        <v>45972</v>
      </c>
      <c r="I229" s="55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34">
        <f>YEAR(Table5[[#This Row],[Date]])+IF(MONTH(Table5[[#This Row],[Date]])&gt;=4,1,0)</f>
        <v>2026</v>
      </c>
      <c r="B230" s="234"/>
      <c r="C230" s="234">
        <f>YEAR(Table5[[#This Row],[Date]])</f>
        <v>2025</v>
      </c>
      <c r="D230" s="234"/>
      <c r="E230" s="234"/>
      <c r="F230" s="235" t="str">
        <f>TEXT(Table5[[#This Row],[Date]],"mmm-yy")</f>
        <v>Nov-25</v>
      </c>
      <c r="G230" s="234">
        <f t="shared" si="9"/>
        <v>30</v>
      </c>
      <c r="H230" s="122">
        <f t="shared" si="10"/>
        <v>45973</v>
      </c>
      <c r="I230" s="55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34">
        <f>YEAR(Table5[[#This Row],[Date]])+IF(MONTH(Table5[[#This Row],[Date]])&gt;=4,1,0)</f>
        <v>2026</v>
      </c>
      <c r="B231" s="234"/>
      <c r="C231" s="234">
        <f>YEAR(Table5[[#This Row],[Date]])</f>
        <v>2025</v>
      </c>
      <c r="D231" s="234"/>
      <c r="E231" s="234"/>
      <c r="F231" s="235" t="str">
        <f>TEXT(Table5[[#This Row],[Date]],"mmm-yy")</f>
        <v>Nov-25</v>
      </c>
      <c r="G231" s="234">
        <f t="shared" si="9"/>
        <v>30</v>
      </c>
      <c r="H231" s="122">
        <f t="shared" si="10"/>
        <v>45974</v>
      </c>
      <c r="I231" s="55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34">
        <f>YEAR(Table5[[#This Row],[Date]])+IF(MONTH(Table5[[#This Row],[Date]])&gt;=4,1,0)</f>
        <v>2026</v>
      </c>
      <c r="B232" s="234"/>
      <c r="C232" s="234">
        <f>YEAR(Table5[[#This Row],[Date]])</f>
        <v>2025</v>
      </c>
      <c r="D232" s="234"/>
      <c r="E232" s="234"/>
      <c r="F232" s="235" t="str">
        <f>TEXT(Table5[[#This Row],[Date]],"mmm-yy")</f>
        <v>Nov-25</v>
      </c>
      <c r="G232" s="234">
        <f t="shared" si="9"/>
        <v>30</v>
      </c>
      <c r="H232" s="122">
        <f t="shared" si="10"/>
        <v>45975</v>
      </c>
      <c r="I232" s="55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34">
        <f>YEAR(Table5[[#This Row],[Date]])+IF(MONTH(Table5[[#This Row],[Date]])&gt;=4,1,0)</f>
        <v>2026</v>
      </c>
      <c r="B233" s="234"/>
      <c r="C233" s="234">
        <f>YEAR(Table5[[#This Row],[Date]])</f>
        <v>2025</v>
      </c>
      <c r="D233" s="234"/>
      <c r="E233" s="234"/>
      <c r="F233" s="235" t="str">
        <f>TEXT(Table5[[#This Row],[Date]],"mmm-yy")</f>
        <v>Nov-25</v>
      </c>
      <c r="G233" s="234">
        <f t="shared" si="9"/>
        <v>30</v>
      </c>
      <c r="H233" s="122">
        <f t="shared" si="10"/>
        <v>45976</v>
      </c>
      <c r="I233" s="55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34">
        <f>YEAR(Table5[[#This Row],[Date]])+IF(MONTH(Table5[[#This Row],[Date]])&gt;=4,1,0)</f>
        <v>2026</v>
      </c>
      <c r="B234" s="234"/>
      <c r="C234" s="234">
        <f>YEAR(Table5[[#This Row],[Date]])</f>
        <v>2025</v>
      </c>
      <c r="D234" s="234"/>
      <c r="E234" s="234"/>
      <c r="F234" s="235" t="str">
        <f>TEXT(Table5[[#This Row],[Date]],"mmm-yy")</f>
        <v>Nov-25</v>
      </c>
      <c r="G234" s="234">
        <f t="shared" si="9"/>
        <v>30</v>
      </c>
      <c r="H234" s="122">
        <f t="shared" si="10"/>
        <v>45977</v>
      </c>
      <c r="I234" s="55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34">
        <f>YEAR(Table5[[#This Row],[Date]])+IF(MONTH(Table5[[#This Row],[Date]])&gt;=4,1,0)</f>
        <v>2026</v>
      </c>
      <c r="B235" s="234"/>
      <c r="C235" s="234">
        <f>YEAR(Table5[[#This Row],[Date]])</f>
        <v>2025</v>
      </c>
      <c r="D235" s="234"/>
      <c r="E235" s="234"/>
      <c r="F235" s="235" t="str">
        <f>TEXT(Table5[[#This Row],[Date]],"mmm-yy")</f>
        <v>Nov-25</v>
      </c>
      <c r="G235" s="234">
        <f t="shared" si="9"/>
        <v>30</v>
      </c>
      <c r="H235" s="122">
        <f t="shared" si="10"/>
        <v>45978</v>
      </c>
      <c r="I235" s="55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34">
        <f>YEAR(Table5[[#This Row],[Date]])+IF(MONTH(Table5[[#This Row],[Date]])&gt;=4,1,0)</f>
        <v>2026</v>
      </c>
      <c r="B236" s="234"/>
      <c r="C236" s="234">
        <f>YEAR(Table5[[#This Row],[Date]])</f>
        <v>2025</v>
      </c>
      <c r="D236" s="234"/>
      <c r="E236" s="234"/>
      <c r="F236" s="235" t="str">
        <f>TEXT(Table5[[#This Row],[Date]],"mmm-yy")</f>
        <v>Nov-25</v>
      </c>
      <c r="G236" s="234">
        <f t="shared" si="9"/>
        <v>30</v>
      </c>
      <c r="H236" s="122">
        <f t="shared" si="10"/>
        <v>45979</v>
      </c>
      <c r="I236" s="55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34">
        <f>YEAR(Table5[[#This Row],[Date]])+IF(MONTH(Table5[[#This Row],[Date]])&gt;=4,1,0)</f>
        <v>2026</v>
      </c>
      <c r="B237" s="234"/>
      <c r="C237" s="234">
        <f>YEAR(Table5[[#This Row],[Date]])</f>
        <v>2025</v>
      </c>
      <c r="D237" s="234"/>
      <c r="E237" s="234"/>
      <c r="F237" s="235" t="str">
        <f>TEXT(Table5[[#This Row],[Date]],"mmm-yy")</f>
        <v>Nov-25</v>
      </c>
      <c r="G237" s="234">
        <f t="shared" ref="G237:G300" si="11">DAY(EOMONTH(F237,0))</f>
        <v>30</v>
      </c>
      <c r="H237" s="122">
        <f t="shared" si="10"/>
        <v>45980</v>
      </c>
      <c r="I237" s="55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34">
        <f>YEAR(Table5[[#This Row],[Date]])+IF(MONTH(Table5[[#This Row],[Date]])&gt;=4,1,0)</f>
        <v>2026</v>
      </c>
      <c r="B238" s="234"/>
      <c r="C238" s="234">
        <f>YEAR(Table5[[#This Row],[Date]])</f>
        <v>2025</v>
      </c>
      <c r="D238" s="234"/>
      <c r="E238" s="234"/>
      <c r="F238" s="235" t="str">
        <f>TEXT(Table5[[#This Row],[Date]],"mmm-yy")</f>
        <v>Nov-25</v>
      </c>
      <c r="G238" s="234">
        <f t="shared" si="11"/>
        <v>30</v>
      </c>
      <c r="H238" s="122">
        <f t="shared" si="10"/>
        <v>45981</v>
      </c>
      <c r="I238" s="55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34">
        <f>YEAR(Table5[[#This Row],[Date]])+IF(MONTH(Table5[[#This Row],[Date]])&gt;=4,1,0)</f>
        <v>2026</v>
      </c>
      <c r="B239" s="234"/>
      <c r="C239" s="234">
        <f>YEAR(Table5[[#This Row],[Date]])</f>
        <v>2025</v>
      </c>
      <c r="D239" s="234"/>
      <c r="E239" s="234"/>
      <c r="F239" s="235" t="str">
        <f>TEXT(Table5[[#This Row],[Date]],"mmm-yy")</f>
        <v>Nov-25</v>
      </c>
      <c r="G239" s="234">
        <f t="shared" si="11"/>
        <v>30</v>
      </c>
      <c r="H239" s="122">
        <f t="shared" si="10"/>
        <v>45982</v>
      </c>
      <c r="I239" s="55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34">
        <f>YEAR(Table5[[#This Row],[Date]])+IF(MONTH(Table5[[#This Row],[Date]])&gt;=4,1,0)</f>
        <v>2026</v>
      </c>
      <c r="B240" s="234"/>
      <c r="C240" s="234">
        <f>YEAR(Table5[[#This Row],[Date]])</f>
        <v>2025</v>
      </c>
      <c r="D240" s="234"/>
      <c r="E240" s="234"/>
      <c r="F240" s="235" t="str">
        <f>TEXT(Table5[[#This Row],[Date]],"mmm-yy")</f>
        <v>Nov-25</v>
      </c>
      <c r="G240" s="234">
        <f t="shared" si="11"/>
        <v>30</v>
      </c>
      <c r="H240" s="122">
        <f t="shared" si="10"/>
        <v>45983</v>
      </c>
      <c r="I240" s="55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34">
        <f>YEAR(Table5[[#This Row],[Date]])+IF(MONTH(Table5[[#This Row],[Date]])&gt;=4,1,0)</f>
        <v>2026</v>
      </c>
      <c r="B241" s="234"/>
      <c r="C241" s="234">
        <f>YEAR(Table5[[#This Row],[Date]])</f>
        <v>2025</v>
      </c>
      <c r="D241" s="234"/>
      <c r="E241" s="234"/>
      <c r="F241" s="235" t="str">
        <f>TEXT(Table5[[#This Row],[Date]],"mmm-yy")</f>
        <v>Nov-25</v>
      </c>
      <c r="G241" s="234">
        <f t="shared" si="11"/>
        <v>30</v>
      </c>
      <c r="H241" s="122">
        <f t="shared" si="10"/>
        <v>45984</v>
      </c>
      <c r="I241" s="55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34">
        <f>YEAR(Table5[[#This Row],[Date]])+IF(MONTH(Table5[[#This Row],[Date]])&gt;=4,1,0)</f>
        <v>2026</v>
      </c>
      <c r="B242" s="234"/>
      <c r="C242" s="234">
        <f>YEAR(Table5[[#This Row],[Date]])</f>
        <v>2025</v>
      </c>
      <c r="D242" s="234"/>
      <c r="E242" s="234"/>
      <c r="F242" s="235" t="str">
        <f>TEXT(Table5[[#This Row],[Date]],"mmm-yy")</f>
        <v>Nov-25</v>
      </c>
      <c r="G242" s="234">
        <f t="shared" si="11"/>
        <v>30</v>
      </c>
      <c r="H242" s="122">
        <f t="shared" si="10"/>
        <v>45985</v>
      </c>
      <c r="I242" s="55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34">
        <f>YEAR(Table5[[#This Row],[Date]])+IF(MONTH(Table5[[#This Row],[Date]])&gt;=4,1,0)</f>
        <v>2026</v>
      </c>
      <c r="B243" s="234"/>
      <c r="C243" s="234">
        <f>YEAR(Table5[[#This Row],[Date]])</f>
        <v>2025</v>
      </c>
      <c r="D243" s="234"/>
      <c r="E243" s="234"/>
      <c r="F243" s="235" t="str">
        <f>TEXT(Table5[[#This Row],[Date]],"mmm-yy")</f>
        <v>Nov-25</v>
      </c>
      <c r="G243" s="234">
        <f t="shared" si="11"/>
        <v>30</v>
      </c>
      <c r="H243" s="122">
        <f t="shared" si="10"/>
        <v>45986</v>
      </c>
      <c r="I243" s="55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34">
        <f>YEAR(Table5[[#This Row],[Date]])+IF(MONTH(Table5[[#This Row],[Date]])&gt;=4,1,0)</f>
        <v>2026</v>
      </c>
      <c r="B244" s="234"/>
      <c r="C244" s="234">
        <f>YEAR(Table5[[#This Row],[Date]])</f>
        <v>2025</v>
      </c>
      <c r="D244" s="234"/>
      <c r="E244" s="234"/>
      <c r="F244" s="235" t="str">
        <f>TEXT(Table5[[#This Row],[Date]],"mmm-yy")</f>
        <v>Nov-25</v>
      </c>
      <c r="G244" s="234">
        <f t="shared" si="11"/>
        <v>30</v>
      </c>
      <c r="H244" s="122">
        <f t="shared" si="10"/>
        <v>45987</v>
      </c>
      <c r="I244" s="55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34">
        <f>YEAR(Table5[[#This Row],[Date]])+IF(MONTH(Table5[[#This Row],[Date]])&gt;=4,1,0)</f>
        <v>2026</v>
      </c>
      <c r="B245" s="234"/>
      <c r="C245" s="234">
        <f>YEAR(Table5[[#This Row],[Date]])</f>
        <v>2025</v>
      </c>
      <c r="D245" s="234"/>
      <c r="E245" s="234"/>
      <c r="F245" s="235" t="str">
        <f>TEXT(Table5[[#This Row],[Date]],"mmm-yy")</f>
        <v>Nov-25</v>
      </c>
      <c r="G245" s="234">
        <f t="shared" si="11"/>
        <v>30</v>
      </c>
      <c r="H245" s="122">
        <f t="shared" si="10"/>
        <v>45988</v>
      </c>
      <c r="I245" s="55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34">
        <f>YEAR(Table5[[#This Row],[Date]])+IF(MONTH(Table5[[#This Row],[Date]])&gt;=4,1,0)</f>
        <v>2026</v>
      </c>
      <c r="B246" s="234"/>
      <c r="C246" s="234">
        <f>YEAR(Table5[[#This Row],[Date]])</f>
        <v>2025</v>
      </c>
      <c r="D246" s="234"/>
      <c r="E246" s="234"/>
      <c r="F246" s="235" t="str">
        <f>TEXT(Table5[[#This Row],[Date]],"mmm-yy")</f>
        <v>Nov-25</v>
      </c>
      <c r="G246" s="234">
        <f t="shared" si="11"/>
        <v>30</v>
      </c>
      <c r="H246" s="122">
        <f t="shared" si="10"/>
        <v>45989</v>
      </c>
      <c r="I246" s="55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34">
        <f>YEAR(Table5[[#This Row],[Date]])+IF(MONTH(Table5[[#This Row],[Date]])&gt;=4,1,0)</f>
        <v>2026</v>
      </c>
      <c r="B247" s="234"/>
      <c r="C247" s="234">
        <f>YEAR(Table5[[#This Row],[Date]])</f>
        <v>2025</v>
      </c>
      <c r="D247" s="234"/>
      <c r="E247" s="234"/>
      <c r="F247" s="235" t="str">
        <f>TEXT(Table5[[#This Row],[Date]],"mmm-yy")</f>
        <v>Nov-25</v>
      </c>
      <c r="G247" s="234">
        <f t="shared" si="11"/>
        <v>30</v>
      </c>
      <c r="H247" s="122">
        <f t="shared" si="10"/>
        <v>45990</v>
      </c>
      <c r="I247" s="55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34">
        <f>YEAR(Table5[[#This Row],[Date]])+IF(MONTH(Table5[[#This Row],[Date]])&gt;=4,1,0)</f>
        <v>2026</v>
      </c>
      <c r="B248" s="234"/>
      <c r="C248" s="234">
        <f>YEAR(Table5[[#This Row],[Date]])</f>
        <v>2025</v>
      </c>
      <c r="D248" s="234"/>
      <c r="E248" s="234"/>
      <c r="F248" s="235" t="str">
        <f>TEXT(Table5[[#This Row],[Date]],"mmm-yy")</f>
        <v>Nov-25</v>
      </c>
      <c r="G248" s="234">
        <f t="shared" si="11"/>
        <v>30</v>
      </c>
      <c r="H248" s="122">
        <f t="shared" si="10"/>
        <v>45991</v>
      </c>
      <c r="I248" s="55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34">
        <f>YEAR(Table5[[#This Row],[Date]])+IF(MONTH(Table5[[#This Row],[Date]])&gt;=4,1,0)</f>
        <v>2026</v>
      </c>
      <c r="B249" s="234"/>
      <c r="C249" s="234">
        <f>YEAR(Table5[[#This Row],[Date]])</f>
        <v>2025</v>
      </c>
      <c r="D249" s="234"/>
      <c r="E249" s="234"/>
      <c r="F249" s="235" t="str">
        <f>TEXT(Table5[[#This Row],[Date]],"mmm-yy")</f>
        <v>Dec-25</v>
      </c>
      <c r="G249" s="234">
        <f t="shared" si="11"/>
        <v>31</v>
      </c>
      <c r="H249" s="122">
        <f t="shared" si="10"/>
        <v>45992</v>
      </c>
      <c r="I249" s="55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34">
        <f>YEAR(Table5[[#This Row],[Date]])+IF(MONTH(Table5[[#This Row],[Date]])&gt;=4,1,0)</f>
        <v>2026</v>
      </c>
      <c r="B250" s="234"/>
      <c r="C250" s="234">
        <f>YEAR(Table5[[#This Row],[Date]])</f>
        <v>2025</v>
      </c>
      <c r="D250" s="234"/>
      <c r="E250" s="234"/>
      <c r="F250" s="235" t="str">
        <f>TEXT(Table5[[#This Row],[Date]],"mmm-yy")</f>
        <v>Dec-25</v>
      </c>
      <c r="G250" s="234">
        <f t="shared" si="11"/>
        <v>31</v>
      </c>
      <c r="H250" s="122">
        <f t="shared" si="10"/>
        <v>45993</v>
      </c>
      <c r="I250" s="55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34">
        <f>YEAR(Table5[[#This Row],[Date]])+IF(MONTH(Table5[[#This Row],[Date]])&gt;=4,1,0)</f>
        <v>2026</v>
      </c>
      <c r="B251" s="234"/>
      <c r="C251" s="234">
        <f>YEAR(Table5[[#This Row],[Date]])</f>
        <v>2025</v>
      </c>
      <c r="D251" s="234"/>
      <c r="E251" s="234"/>
      <c r="F251" s="235" t="str">
        <f>TEXT(Table5[[#This Row],[Date]],"mmm-yy")</f>
        <v>Dec-25</v>
      </c>
      <c r="G251" s="234">
        <f t="shared" si="11"/>
        <v>31</v>
      </c>
      <c r="H251" s="122">
        <f t="shared" si="10"/>
        <v>45994</v>
      </c>
      <c r="I251" s="55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34">
        <f>YEAR(Table5[[#This Row],[Date]])+IF(MONTH(Table5[[#This Row],[Date]])&gt;=4,1,0)</f>
        <v>2026</v>
      </c>
      <c r="B252" s="234"/>
      <c r="C252" s="234">
        <f>YEAR(Table5[[#This Row],[Date]])</f>
        <v>2025</v>
      </c>
      <c r="D252" s="234"/>
      <c r="E252" s="234"/>
      <c r="F252" s="235" t="str">
        <f>TEXT(Table5[[#This Row],[Date]],"mmm-yy")</f>
        <v>Dec-25</v>
      </c>
      <c r="G252" s="234">
        <f t="shared" si="11"/>
        <v>31</v>
      </c>
      <c r="H252" s="122">
        <f t="shared" si="10"/>
        <v>45995</v>
      </c>
      <c r="I252" s="55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34">
        <f>YEAR(Table5[[#This Row],[Date]])+IF(MONTH(Table5[[#This Row],[Date]])&gt;=4,1,0)</f>
        <v>2026</v>
      </c>
      <c r="B253" s="234"/>
      <c r="C253" s="234">
        <f>YEAR(Table5[[#This Row],[Date]])</f>
        <v>2025</v>
      </c>
      <c r="D253" s="234"/>
      <c r="E253" s="234"/>
      <c r="F253" s="235" t="str">
        <f>TEXT(Table5[[#This Row],[Date]],"mmm-yy")</f>
        <v>Dec-25</v>
      </c>
      <c r="G253" s="234">
        <f t="shared" si="11"/>
        <v>31</v>
      </c>
      <c r="H253" s="122">
        <f t="shared" si="10"/>
        <v>45996</v>
      </c>
      <c r="I253" s="55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34">
        <f>YEAR(Table5[[#This Row],[Date]])+IF(MONTH(Table5[[#This Row],[Date]])&gt;=4,1,0)</f>
        <v>2026</v>
      </c>
      <c r="B254" s="234"/>
      <c r="C254" s="234">
        <f>YEAR(Table5[[#This Row],[Date]])</f>
        <v>2025</v>
      </c>
      <c r="D254" s="234"/>
      <c r="E254" s="234"/>
      <c r="F254" s="235" t="str">
        <f>TEXT(Table5[[#This Row],[Date]],"mmm-yy")</f>
        <v>Dec-25</v>
      </c>
      <c r="G254" s="234">
        <f t="shared" si="11"/>
        <v>31</v>
      </c>
      <c r="H254" s="122">
        <f t="shared" si="10"/>
        <v>45997</v>
      </c>
      <c r="I254" s="55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34">
        <f>YEAR(Table5[[#This Row],[Date]])+IF(MONTH(Table5[[#This Row],[Date]])&gt;=4,1,0)</f>
        <v>2026</v>
      </c>
      <c r="B255" s="234"/>
      <c r="C255" s="234">
        <f>YEAR(Table5[[#This Row],[Date]])</f>
        <v>2025</v>
      </c>
      <c r="D255" s="234"/>
      <c r="E255" s="234"/>
      <c r="F255" s="235" t="str">
        <f>TEXT(Table5[[#This Row],[Date]],"mmm-yy")</f>
        <v>Dec-25</v>
      </c>
      <c r="G255" s="234">
        <f t="shared" si="11"/>
        <v>31</v>
      </c>
      <c r="H255" s="122">
        <f t="shared" si="10"/>
        <v>45998</v>
      </c>
      <c r="I255" s="55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34">
        <f>YEAR(Table5[[#This Row],[Date]])+IF(MONTH(Table5[[#This Row],[Date]])&gt;=4,1,0)</f>
        <v>2026</v>
      </c>
      <c r="B256" s="234"/>
      <c r="C256" s="234">
        <f>YEAR(Table5[[#This Row],[Date]])</f>
        <v>2025</v>
      </c>
      <c r="D256" s="234"/>
      <c r="E256" s="234"/>
      <c r="F256" s="235" t="str">
        <f>TEXT(Table5[[#This Row],[Date]],"mmm-yy")</f>
        <v>Dec-25</v>
      </c>
      <c r="G256" s="234">
        <f t="shared" si="11"/>
        <v>31</v>
      </c>
      <c r="H256" s="122">
        <f t="shared" si="10"/>
        <v>45999</v>
      </c>
      <c r="I256" s="55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34">
        <f>YEAR(Table5[[#This Row],[Date]])+IF(MONTH(Table5[[#This Row],[Date]])&gt;=4,1,0)</f>
        <v>2026</v>
      </c>
      <c r="B257" s="234"/>
      <c r="C257" s="234">
        <f>YEAR(Table5[[#This Row],[Date]])</f>
        <v>2025</v>
      </c>
      <c r="D257" s="234"/>
      <c r="E257" s="234"/>
      <c r="F257" s="235" t="str">
        <f>TEXT(Table5[[#This Row],[Date]],"mmm-yy")</f>
        <v>Dec-25</v>
      </c>
      <c r="G257" s="234">
        <f t="shared" si="11"/>
        <v>31</v>
      </c>
      <c r="H257" s="122">
        <f t="shared" si="10"/>
        <v>46000</v>
      </c>
      <c r="I257" s="55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34">
        <f>YEAR(Table5[[#This Row],[Date]])+IF(MONTH(Table5[[#This Row],[Date]])&gt;=4,1,0)</f>
        <v>2026</v>
      </c>
      <c r="B258" s="234"/>
      <c r="C258" s="234">
        <f>YEAR(Table5[[#This Row],[Date]])</f>
        <v>2025</v>
      </c>
      <c r="D258" s="234"/>
      <c r="E258" s="234"/>
      <c r="F258" s="235" t="str">
        <f>TEXT(Table5[[#This Row],[Date]],"mmm-yy")</f>
        <v>Dec-25</v>
      </c>
      <c r="G258" s="234">
        <f t="shared" si="11"/>
        <v>31</v>
      </c>
      <c r="H258" s="122">
        <f t="shared" si="10"/>
        <v>46001</v>
      </c>
      <c r="I258" s="55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34">
        <f>YEAR(Table5[[#This Row],[Date]])+IF(MONTH(Table5[[#This Row],[Date]])&gt;=4,1,0)</f>
        <v>2026</v>
      </c>
      <c r="B259" s="234"/>
      <c r="C259" s="234">
        <f>YEAR(Table5[[#This Row],[Date]])</f>
        <v>2025</v>
      </c>
      <c r="D259" s="234"/>
      <c r="E259" s="234"/>
      <c r="F259" s="235" t="str">
        <f>TEXT(Table5[[#This Row],[Date]],"mmm-yy")</f>
        <v>Dec-25</v>
      </c>
      <c r="G259" s="234">
        <f t="shared" si="11"/>
        <v>31</v>
      </c>
      <c r="H259" s="122">
        <f t="shared" si="10"/>
        <v>46002</v>
      </c>
      <c r="I259" s="55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34">
        <f>YEAR(Table5[[#This Row],[Date]])+IF(MONTH(Table5[[#This Row],[Date]])&gt;=4,1,0)</f>
        <v>2026</v>
      </c>
      <c r="B260" s="234"/>
      <c r="C260" s="234">
        <f>YEAR(Table5[[#This Row],[Date]])</f>
        <v>2025</v>
      </c>
      <c r="D260" s="234"/>
      <c r="E260" s="234"/>
      <c r="F260" s="235" t="str">
        <f>TEXT(Table5[[#This Row],[Date]],"mmm-yy")</f>
        <v>Dec-25</v>
      </c>
      <c r="G260" s="234">
        <f t="shared" si="11"/>
        <v>31</v>
      </c>
      <c r="H260" s="122">
        <f t="shared" si="10"/>
        <v>46003</v>
      </c>
      <c r="I260" s="55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34">
        <f>YEAR(Table5[[#This Row],[Date]])+IF(MONTH(Table5[[#This Row],[Date]])&gt;=4,1,0)</f>
        <v>2026</v>
      </c>
      <c r="B261" s="234"/>
      <c r="C261" s="234">
        <f>YEAR(Table5[[#This Row],[Date]])</f>
        <v>2025</v>
      </c>
      <c r="D261" s="234"/>
      <c r="E261" s="234"/>
      <c r="F261" s="235" t="str">
        <f>TEXT(Table5[[#This Row],[Date]],"mmm-yy")</f>
        <v>Dec-25</v>
      </c>
      <c r="G261" s="234">
        <f t="shared" si="11"/>
        <v>31</v>
      </c>
      <c r="H261" s="122">
        <f t="shared" ref="H261:H289" si="12">H260+1</f>
        <v>46004</v>
      </c>
      <c r="I261" s="55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34">
        <f>YEAR(Table5[[#This Row],[Date]])+IF(MONTH(Table5[[#This Row],[Date]])&gt;=4,1,0)</f>
        <v>2026</v>
      </c>
      <c r="B262" s="234"/>
      <c r="C262" s="234">
        <f>YEAR(Table5[[#This Row],[Date]])</f>
        <v>2025</v>
      </c>
      <c r="D262" s="234"/>
      <c r="E262" s="234"/>
      <c r="F262" s="235" t="str">
        <f>TEXT(Table5[[#This Row],[Date]],"mmm-yy")</f>
        <v>Dec-25</v>
      </c>
      <c r="G262" s="234">
        <f t="shared" si="11"/>
        <v>31</v>
      </c>
      <c r="H262" s="122">
        <f t="shared" si="12"/>
        <v>46005</v>
      </c>
      <c r="I262" s="55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34">
        <f>YEAR(Table5[[#This Row],[Date]])+IF(MONTH(Table5[[#This Row],[Date]])&gt;=4,1,0)</f>
        <v>2026</v>
      </c>
      <c r="B263" s="234"/>
      <c r="C263" s="234">
        <f>YEAR(Table5[[#This Row],[Date]])</f>
        <v>2025</v>
      </c>
      <c r="D263" s="234"/>
      <c r="E263" s="234"/>
      <c r="F263" s="235" t="str">
        <f>TEXT(Table5[[#This Row],[Date]],"mmm-yy")</f>
        <v>Dec-25</v>
      </c>
      <c r="G263" s="234">
        <f t="shared" si="11"/>
        <v>31</v>
      </c>
      <c r="H263" s="122">
        <f t="shared" si="12"/>
        <v>46006</v>
      </c>
      <c r="I263" s="55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34">
        <f>YEAR(Table5[[#This Row],[Date]])+IF(MONTH(Table5[[#This Row],[Date]])&gt;=4,1,0)</f>
        <v>2026</v>
      </c>
      <c r="B264" s="234"/>
      <c r="C264" s="234">
        <f>YEAR(Table5[[#This Row],[Date]])</f>
        <v>2025</v>
      </c>
      <c r="D264" s="234"/>
      <c r="E264" s="234"/>
      <c r="F264" s="235" t="str">
        <f>TEXT(Table5[[#This Row],[Date]],"mmm-yy")</f>
        <v>Dec-25</v>
      </c>
      <c r="G264" s="234">
        <f t="shared" si="11"/>
        <v>31</v>
      </c>
      <c r="H264" s="122">
        <f t="shared" si="12"/>
        <v>46007</v>
      </c>
      <c r="I264" s="55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34">
        <f>YEAR(Table5[[#This Row],[Date]])+IF(MONTH(Table5[[#This Row],[Date]])&gt;=4,1,0)</f>
        <v>2026</v>
      </c>
      <c r="B265" s="234"/>
      <c r="C265" s="234">
        <f>YEAR(Table5[[#This Row],[Date]])</f>
        <v>2025</v>
      </c>
      <c r="D265" s="234"/>
      <c r="E265" s="234"/>
      <c r="F265" s="235" t="str">
        <f>TEXT(Table5[[#This Row],[Date]],"mmm-yy")</f>
        <v>Dec-25</v>
      </c>
      <c r="G265" s="234">
        <f t="shared" si="11"/>
        <v>31</v>
      </c>
      <c r="H265" s="122">
        <f t="shared" si="12"/>
        <v>46008</v>
      </c>
      <c r="I265" s="55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34">
        <f>YEAR(Table5[[#This Row],[Date]])+IF(MONTH(Table5[[#This Row],[Date]])&gt;=4,1,0)</f>
        <v>2026</v>
      </c>
      <c r="B266" s="234"/>
      <c r="C266" s="234">
        <f>YEAR(Table5[[#This Row],[Date]])</f>
        <v>2025</v>
      </c>
      <c r="D266" s="234"/>
      <c r="E266" s="234"/>
      <c r="F266" s="235" t="str">
        <f>TEXT(Table5[[#This Row],[Date]],"mmm-yy")</f>
        <v>Dec-25</v>
      </c>
      <c r="G266" s="234">
        <f t="shared" si="11"/>
        <v>31</v>
      </c>
      <c r="H266" s="122">
        <f t="shared" si="12"/>
        <v>46009</v>
      </c>
      <c r="I266" s="55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34">
        <f>YEAR(Table5[[#This Row],[Date]])+IF(MONTH(Table5[[#This Row],[Date]])&gt;=4,1,0)</f>
        <v>2026</v>
      </c>
      <c r="B267" s="234"/>
      <c r="C267" s="234">
        <f>YEAR(Table5[[#This Row],[Date]])</f>
        <v>2025</v>
      </c>
      <c r="D267" s="234"/>
      <c r="E267" s="234"/>
      <c r="F267" s="235" t="str">
        <f>TEXT(Table5[[#This Row],[Date]],"mmm-yy")</f>
        <v>Dec-25</v>
      </c>
      <c r="G267" s="234">
        <f t="shared" si="11"/>
        <v>31</v>
      </c>
      <c r="H267" s="122">
        <f t="shared" si="12"/>
        <v>46010</v>
      </c>
      <c r="I267" s="55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34">
        <f>YEAR(Table5[[#This Row],[Date]])+IF(MONTH(Table5[[#This Row],[Date]])&gt;=4,1,0)</f>
        <v>2026</v>
      </c>
      <c r="B268" s="234"/>
      <c r="C268" s="234">
        <f>YEAR(Table5[[#This Row],[Date]])</f>
        <v>2025</v>
      </c>
      <c r="D268" s="234"/>
      <c r="E268" s="234"/>
      <c r="F268" s="235" t="str">
        <f>TEXT(Table5[[#This Row],[Date]],"mmm-yy")</f>
        <v>Dec-25</v>
      </c>
      <c r="G268" s="234">
        <f t="shared" si="11"/>
        <v>31</v>
      </c>
      <c r="H268" s="122">
        <f t="shared" si="12"/>
        <v>46011</v>
      </c>
      <c r="I268" s="55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  <row r="269" spans="1:39" x14ac:dyDescent="0.3">
      <c r="A269" s="234">
        <f>YEAR(Table5[[#This Row],[Date]])+IF(MONTH(Table5[[#This Row],[Date]])&gt;=4,1,0)</f>
        <v>2026</v>
      </c>
      <c r="B269" s="234"/>
      <c r="C269" s="234">
        <f>YEAR(Table5[[#This Row],[Date]])</f>
        <v>2025</v>
      </c>
      <c r="D269" s="234"/>
      <c r="E269" s="234"/>
      <c r="F269" s="235" t="str">
        <f>TEXT(Table5[[#This Row],[Date]],"mmm-yy")</f>
        <v>Dec-25</v>
      </c>
      <c r="G269" s="234">
        <f t="shared" si="11"/>
        <v>31</v>
      </c>
      <c r="H269" s="122">
        <f t="shared" si="12"/>
        <v>46012</v>
      </c>
      <c r="I269" s="55">
        <v>8.02</v>
      </c>
      <c r="J269" s="59" t="str">
        <f>IFERROR(Inv_SY!J271/Inv_SY!$Y271-1,"")</f>
        <v/>
      </c>
      <c r="K269" s="59" t="str">
        <f>IFERROR(Inv_SY!K271/Inv_SY!$Y271-1,"")</f>
        <v/>
      </c>
      <c r="L269" s="59" t="str">
        <f>IFERROR(Inv_SY!L271/Inv_SY!$Y271-1,"")</f>
        <v/>
      </c>
      <c r="M269" s="59" t="str">
        <f>IFERROR(Inv_SY!M271/Inv_SY!$Y271-1,"")</f>
        <v/>
      </c>
      <c r="N269" s="59" t="str">
        <f>IFERROR(Inv_SY!N271/Inv_SY!$Y271-1,"")</f>
        <v/>
      </c>
      <c r="O269" s="59" t="str">
        <f>IFERROR(Inv_SY!O271/Inv_SY!$Y271-1,"")</f>
        <v/>
      </c>
      <c r="P269" s="59" t="str">
        <f>IFERROR(Inv_SY!P271/Inv_SY!$Y271-1,"")</f>
        <v/>
      </c>
      <c r="Q269" s="59" t="str">
        <f>IFERROR(Inv_SY!Q271/Inv_SY!$Y271-1,"")</f>
        <v/>
      </c>
      <c r="R269" s="59" t="str">
        <f>IFERROR(Inv_SY!R271/Inv_SY!$Y271-1,"")</f>
        <v/>
      </c>
      <c r="S269" s="59" t="str">
        <f>IFERROR(Inv_SY!S271/Inv_SY!$Y271-1,"")</f>
        <v/>
      </c>
      <c r="T269" s="59" t="str">
        <f>IFERROR(Inv_SY!T271/Inv_SY!$Y271-1,"")</f>
        <v/>
      </c>
      <c r="U269" s="59" t="str">
        <f>IFERROR(Inv_SY!U271/Inv_SY!$Y271-1,"")</f>
        <v/>
      </c>
      <c r="V269" s="59" t="str">
        <f>IFERROR(Inv_SY!J271/Inv_SY!$Z271-1,"")</f>
        <v/>
      </c>
      <c r="W269" s="59" t="str">
        <f>IFERROR(Inv_SY!K271/Inv_SY!$Z271-1,"")</f>
        <v/>
      </c>
      <c r="X269" s="59" t="str">
        <f>IFERROR(Inv_SY!L271/Inv_SY!$Z271-1,"")</f>
        <v/>
      </c>
      <c r="Y269" s="59" t="str">
        <f>IFERROR(Inv_SY!M271/Inv_SY!$Z271-1,"")</f>
        <v/>
      </c>
      <c r="Z269" s="59" t="str">
        <f>IFERROR(Inv_SY!N271/Inv_SY!$Z271-1,"")</f>
        <v/>
      </c>
      <c r="AA269" s="59" t="str">
        <f>IFERROR(Inv_SY!O271/Inv_SY!$Z271-1,"")</f>
        <v/>
      </c>
      <c r="AB269" s="59" t="str">
        <f>IFERROR(Inv_SY!P271/Inv_SY!$Z271-1,"")</f>
        <v/>
      </c>
      <c r="AC269" s="59" t="str">
        <f>IFERROR(Inv_SY!Q271/Inv_SY!$Z271-1,"")</f>
        <v/>
      </c>
      <c r="AD269" s="59" t="str">
        <f>IFERROR(Inv_SY!R271/Inv_SY!$Z271-1,"")</f>
        <v/>
      </c>
      <c r="AE269" s="59" t="str">
        <f>IFERROR(Inv_SY!S271/Inv_SY!$Z271-1,"")</f>
        <v/>
      </c>
      <c r="AF269" s="59" t="str">
        <f>IFERROR(Inv_SY!T271/Inv_SY!$Z271-1,"")</f>
        <v/>
      </c>
      <c r="AG269" s="59" t="str">
        <f>IFERROR(Inv_SY!U271/Inv_SY!$Z271-1,"")</f>
        <v/>
      </c>
      <c r="AH269" s="59" t="str">
        <f>IFERROR(Inv_SY!V271/Inv_SY!$Y271-1,"")</f>
        <v/>
      </c>
      <c r="AI269" s="59" t="str">
        <f>IFERROR(Inv_SY!W271/Inv_SY!$Y271-1,"")</f>
        <v/>
      </c>
      <c r="AJ269" s="59" t="str">
        <f>IFERROR(Inv_SY!X271/Inv_SY!$Y271-1,"")</f>
        <v/>
      </c>
      <c r="AK269" s="59" t="str">
        <f>IFERROR(Inv_SY!V271/Inv_SY!$Z271-1,"")</f>
        <v/>
      </c>
      <c r="AL269" s="59" t="str">
        <f>IFERROR(Inv_SY!W271/Inv_SY!$Z271-1,"")</f>
        <v/>
      </c>
      <c r="AM269" s="59" t="str">
        <f>IFERROR(Inv_SY!X271/Inv_SY!$Z271-1,"")</f>
        <v/>
      </c>
    </row>
    <row r="270" spans="1:39" x14ac:dyDescent="0.3">
      <c r="A270" s="234">
        <f>YEAR(Table5[[#This Row],[Date]])+IF(MONTH(Table5[[#This Row],[Date]])&gt;=4,1,0)</f>
        <v>2026</v>
      </c>
      <c r="B270" s="234"/>
      <c r="C270" s="234">
        <f>YEAR(Table5[[#This Row],[Date]])</f>
        <v>2025</v>
      </c>
      <c r="D270" s="234"/>
      <c r="E270" s="234"/>
      <c r="F270" s="235" t="str">
        <f>TEXT(Table5[[#This Row],[Date]],"mmm-yy")</f>
        <v>Dec-25</v>
      </c>
      <c r="G270" s="234">
        <f t="shared" si="11"/>
        <v>31</v>
      </c>
      <c r="H270" s="122">
        <f t="shared" si="12"/>
        <v>46013</v>
      </c>
      <c r="I270" s="55">
        <v>8.02</v>
      </c>
      <c r="J270" s="59" t="str">
        <f>IFERROR(Inv_SY!J272/Inv_SY!$Y272-1,"")</f>
        <v/>
      </c>
      <c r="K270" s="59" t="str">
        <f>IFERROR(Inv_SY!K272/Inv_SY!$Y272-1,"")</f>
        <v/>
      </c>
      <c r="L270" s="59" t="str">
        <f>IFERROR(Inv_SY!L272/Inv_SY!$Y272-1,"")</f>
        <v/>
      </c>
      <c r="M270" s="59" t="str">
        <f>IFERROR(Inv_SY!M272/Inv_SY!$Y272-1,"")</f>
        <v/>
      </c>
      <c r="N270" s="59" t="str">
        <f>IFERROR(Inv_SY!N272/Inv_SY!$Y272-1,"")</f>
        <v/>
      </c>
      <c r="O270" s="59" t="str">
        <f>IFERROR(Inv_SY!O272/Inv_SY!$Y272-1,"")</f>
        <v/>
      </c>
      <c r="P270" s="59" t="str">
        <f>IFERROR(Inv_SY!P272/Inv_SY!$Y272-1,"")</f>
        <v/>
      </c>
      <c r="Q270" s="59" t="str">
        <f>IFERROR(Inv_SY!Q272/Inv_SY!$Y272-1,"")</f>
        <v/>
      </c>
      <c r="R270" s="59" t="str">
        <f>IFERROR(Inv_SY!R272/Inv_SY!$Y272-1,"")</f>
        <v/>
      </c>
      <c r="S270" s="59" t="str">
        <f>IFERROR(Inv_SY!S272/Inv_SY!$Y272-1,"")</f>
        <v/>
      </c>
      <c r="T270" s="59" t="str">
        <f>IFERROR(Inv_SY!T272/Inv_SY!$Y272-1,"")</f>
        <v/>
      </c>
      <c r="U270" s="59" t="str">
        <f>IFERROR(Inv_SY!U272/Inv_SY!$Y272-1,"")</f>
        <v/>
      </c>
      <c r="V270" s="59" t="str">
        <f>IFERROR(Inv_SY!J272/Inv_SY!$Z272-1,"")</f>
        <v/>
      </c>
      <c r="W270" s="59" t="str">
        <f>IFERROR(Inv_SY!K272/Inv_SY!$Z272-1,"")</f>
        <v/>
      </c>
      <c r="X270" s="59" t="str">
        <f>IFERROR(Inv_SY!L272/Inv_SY!$Z272-1,"")</f>
        <v/>
      </c>
      <c r="Y270" s="59" t="str">
        <f>IFERROR(Inv_SY!M272/Inv_SY!$Z272-1,"")</f>
        <v/>
      </c>
      <c r="Z270" s="59" t="str">
        <f>IFERROR(Inv_SY!N272/Inv_SY!$Z272-1,"")</f>
        <v/>
      </c>
      <c r="AA270" s="59" t="str">
        <f>IFERROR(Inv_SY!O272/Inv_SY!$Z272-1,"")</f>
        <v/>
      </c>
      <c r="AB270" s="59" t="str">
        <f>IFERROR(Inv_SY!P272/Inv_SY!$Z272-1,"")</f>
        <v/>
      </c>
      <c r="AC270" s="59" t="str">
        <f>IFERROR(Inv_SY!Q272/Inv_SY!$Z272-1,"")</f>
        <v/>
      </c>
      <c r="AD270" s="59" t="str">
        <f>IFERROR(Inv_SY!R272/Inv_SY!$Z272-1,"")</f>
        <v/>
      </c>
      <c r="AE270" s="59" t="str">
        <f>IFERROR(Inv_SY!S272/Inv_SY!$Z272-1,"")</f>
        <v/>
      </c>
      <c r="AF270" s="59" t="str">
        <f>IFERROR(Inv_SY!T272/Inv_SY!$Z272-1,"")</f>
        <v/>
      </c>
      <c r="AG270" s="59" t="str">
        <f>IFERROR(Inv_SY!U272/Inv_SY!$Z272-1,"")</f>
        <v/>
      </c>
      <c r="AH270" s="59" t="str">
        <f>IFERROR(Inv_SY!V272/Inv_SY!$Y272-1,"")</f>
        <v/>
      </c>
      <c r="AI270" s="59" t="str">
        <f>IFERROR(Inv_SY!W272/Inv_SY!$Y272-1,"")</f>
        <v/>
      </c>
      <c r="AJ270" s="59" t="str">
        <f>IFERROR(Inv_SY!X272/Inv_SY!$Y272-1,"")</f>
        <v/>
      </c>
      <c r="AK270" s="59" t="str">
        <f>IFERROR(Inv_SY!V272/Inv_SY!$Z272-1,"")</f>
        <v/>
      </c>
      <c r="AL270" s="59" t="str">
        <f>IFERROR(Inv_SY!W272/Inv_SY!$Z272-1,"")</f>
        <v/>
      </c>
      <c r="AM270" s="59" t="str">
        <f>IFERROR(Inv_SY!X272/Inv_SY!$Z272-1,"")</f>
        <v/>
      </c>
    </row>
    <row r="271" spans="1:39" x14ac:dyDescent="0.3">
      <c r="A271" s="234">
        <f>YEAR(Table5[[#This Row],[Date]])+IF(MONTH(Table5[[#This Row],[Date]])&gt;=4,1,0)</f>
        <v>2026</v>
      </c>
      <c r="B271" s="234"/>
      <c r="C271" s="234">
        <f>YEAR(Table5[[#This Row],[Date]])</f>
        <v>2025</v>
      </c>
      <c r="D271" s="234"/>
      <c r="E271" s="234"/>
      <c r="F271" s="235" t="str">
        <f>TEXT(Table5[[#This Row],[Date]],"mmm-yy")</f>
        <v>Dec-25</v>
      </c>
      <c r="G271" s="234">
        <f t="shared" si="11"/>
        <v>31</v>
      </c>
      <c r="H271" s="122">
        <f t="shared" si="12"/>
        <v>46014</v>
      </c>
      <c r="I271" s="55">
        <v>8.02</v>
      </c>
      <c r="J271" s="59" t="str">
        <f>IFERROR(Inv_SY!J273/Inv_SY!$Y273-1,"")</f>
        <v/>
      </c>
      <c r="K271" s="59" t="str">
        <f>IFERROR(Inv_SY!K273/Inv_SY!$Y273-1,"")</f>
        <v/>
      </c>
      <c r="L271" s="59" t="str">
        <f>IFERROR(Inv_SY!L273/Inv_SY!$Y273-1,"")</f>
        <v/>
      </c>
      <c r="M271" s="59" t="str">
        <f>IFERROR(Inv_SY!M273/Inv_SY!$Y273-1,"")</f>
        <v/>
      </c>
      <c r="N271" s="59" t="str">
        <f>IFERROR(Inv_SY!N273/Inv_SY!$Y273-1,"")</f>
        <v/>
      </c>
      <c r="O271" s="59" t="str">
        <f>IFERROR(Inv_SY!O273/Inv_SY!$Y273-1,"")</f>
        <v/>
      </c>
      <c r="P271" s="59" t="str">
        <f>IFERROR(Inv_SY!P273/Inv_SY!$Y273-1,"")</f>
        <v/>
      </c>
      <c r="Q271" s="59" t="str">
        <f>IFERROR(Inv_SY!Q273/Inv_SY!$Y273-1,"")</f>
        <v/>
      </c>
      <c r="R271" s="59" t="str">
        <f>IFERROR(Inv_SY!R273/Inv_SY!$Y273-1,"")</f>
        <v/>
      </c>
      <c r="S271" s="59" t="str">
        <f>IFERROR(Inv_SY!S273/Inv_SY!$Y273-1,"")</f>
        <v/>
      </c>
      <c r="T271" s="59" t="str">
        <f>IFERROR(Inv_SY!T273/Inv_SY!$Y273-1,"")</f>
        <v/>
      </c>
      <c r="U271" s="59" t="str">
        <f>IFERROR(Inv_SY!U273/Inv_SY!$Y273-1,"")</f>
        <v/>
      </c>
      <c r="V271" s="59" t="str">
        <f>IFERROR(Inv_SY!J273/Inv_SY!$Z273-1,"")</f>
        <v/>
      </c>
      <c r="W271" s="59" t="str">
        <f>IFERROR(Inv_SY!K273/Inv_SY!$Z273-1,"")</f>
        <v/>
      </c>
      <c r="X271" s="59" t="str">
        <f>IFERROR(Inv_SY!L273/Inv_SY!$Z273-1,"")</f>
        <v/>
      </c>
      <c r="Y271" s="59" t="str">
        <f>IFERROR(Inv_SY!M273/Inv_SY!$Z273-1,"")</f>
        <v/>
      </c>
      <c r="Z271" s="59" t="str">
        <f>IFERROR(Inv_SY!N273/Inv_SY!$Z273-1,"")</f>
        <v/>
      </c>
      <c r="AA271" s="59" t="str">
        <f>IFERROR(Inv_SY!O273/Inv_SY!$Z273-1,"")</f>
        <v/>
      </c>
      <c r="AB271" s="59" t="str">
        <f>IFERROR(Inv_SY!P273/Inv_SY!$Z273-1,"")</f>
        <v/>
      </c>
      <c r="AC271" s="59" t="str">
        <f>IFERROR(Inv_SY!Q273/Inv_SY!$Z273-1,"")</f>
        <v/>
      </c>
      <c r="AD271" s="59" t="str">
        <f>IFERROR(Inv_SY!R273/Inv_SY!$Z273-1,"")</f>
        <v/>
      </c>
      <c r="AE271" s="59" t="str">
        <f>IFERROR(Inv_SY!S273/Inv_SY!$Z273-1,"")</f>
        <v/>
      </c>
      <c r="AF271" s="59" t="str">
        <f>IFERROR(Inv_SY!T273/Inv_SY!$Z273-1,"")</f>
        <v/>
      </c>
      <c r="AG271" s="59" t="str">
        <f>IFERROR(Inv_SY!U273/Inv_SY!$Z273-1,"")</f>
        <v/>
      </c>
      <c r="AH271" s="59" t="str">
        <f>IFERROR(Inv_SY!V273/Inv_SY!$Y273-1,"")</f>
        <v/>
      </c>
      <c r="AI271" s="59" t="str">
        <f>IFERROR(Inv_SY!W273/Inv_SY!$Y273-1,"")</f>
        <v/>
      </c>
      <c r="AJ271" s="59" t="str">
        <f>IFERROR(Inv_SY!X273/Inv_SY!$Y273-1,"")</f>
        <v/>
      </c>
      <c r="AK271" s="59" t="str">
        <f>IFERROR(Inv_SY!V273/Inv_SY!$Z273-1,"")</f>
        <v/>
      </c>
      <c r="AL271" s="59" t="str">
        <f>IFERROR(Inv_SY!W273/Inv_SY!$Z273-1,"")</f>
        <v/>
      </c>
      <c r="AM271" s="59" t="str">
        <f>IFERROR(Inv_SY!X273/Inv_SY!$Z273-1,"")</f>
        <v/>
      </c>
    </row>
    <row r="272" spans="1:39" x14ac:dyDescent="0.3">
      <c r="A272" s="234">
        <f>YEAR(Table5[[#This Row],[Date]])+IF(MONTH(Table5[[#This Row],[Date]])&gt;=4,1,0)</f>
        <v>2026</v>
      </c>
      <c r="B272" s="234"/>
      <c r="C272" s="234">
        <f>YEAR(Table5[[#This Row],[Date]])</f>
        <v>2025</v>
      </c>
      <c r="D272" s="234"/>
      <c r="E272" s="234"/>
      <c r="F272" s="235" t="str">
        <f>TEXT(Table5[[#This Row],[Date]],"mmm-yy")</f>
        <v>Dec-25</v>
      </c>
      <c r="G272" s="234">
        <f t="shared" si="11"/>
        <v>31</v>
      </c>
      <c r="H272" s="122">
        <f t="shared" si="12"/>
        <v>46015</v>
      </c>
      <c r="I272" s="55">
        <v>8.02</v>
      </c>
      <c r="J272" s="59" t="str">
        <f>IFERROR(Inv_SY!J274/Inv_SY!$Y274-1,"")</f>
        <v/>
      </c>
      <c r="K272" s="59" t="str">
        <f>IFERROR(Inv_SY!K274/Inv_SY!$Y274-1,"")</f>
        <v/>
      </c>
      <c r="L272" s="59" t="str">
        <f>IFERROR(Inv_SY!L274/Inv_SY!$Y274-1,"")</f>
        <v/>
      </c>
      <c r="M272" s="59" t="str">
        <f>IFERROR(Inv_SY!M274/Inv_SY!$Y274-1,"")</f>
        <v/>
      </c>
      <c r="N272" s="59" t="str">
        <f>IFERROR(Inv_SY!N274/Inv_SY!$Y274-1,"")</f>
        <v/>
      </c>
      <c r="O272" s="59" t="str">
        <f>IFERROR(Inv_SY!O274/Inv_SY!$Y274-1,"")</f>
        <v/>
      </c>
      <c r="P272" s="59" t="str">
        <f>IFERROR(Inv_SY!P274/Inv_SY!$Y274-1,"")</f>
        <v/>
      </c>
      <c r="Q272" s="59" t="str">
        <f>IFERROR(Inv_SY!Q274/Inv_SY!$Y274-1,"")</f>
        <v/>
      </c>
      <c r="R272" s="59" t="str">
        <f>IFERROR(Inv_SY!R274/Inv_SY!$Y274-1,"")</f>
        <v/>
      </c>
      <c r="S272" s="59" t="str">
        <f>IFERROR(Inv_SY!S274/Inv_SY!$Y274-1,"")</f>
        <v/>
      </c>
      <c r="T272" s="59" t="str">
        <f>IFERROR(Inv_SY!T274/Inv_SY!$Y274-1,"")</f>
        <v/>
      </c>
      <c r="U272" s="59" t="str">
        <f>IFERROR(Inv_SY!U274/Inv_SY!$Y274-1,"")</f>
        <v/>
      </c>
      <c r="V272" s="59" t="str">
        <f>IFERROR(Inv_SY!J274/Inv_SY!$Z274-1,"")</f>
        <v/>
      </c>
      <c r="W272" s="59" t="str">
        <f>IFERROR(Inv_SY!K274/Inv_SY!$Z274-1,"")</f>
        <v/>
      </c>
      <c r="X272" s="59" t="str">
        <f>IFERROR(Inv_SY!L274/Inv_SY!$Z274-1,"")</f>
        <v/>
      </c>
      <c r="Y272" s="59" t="str">
        <f>IFERROR(Inv_SY!M274/Inv_SY!$Z274-1,"")</f>
        <v/>
      </c>
      <c r="Z272" s="59" t="str">
        <f>IFERROR(Inv_SY!N274/Inv_SY!$Z274-1,"")</f>
        <v/>
      </c>
      <c r="AA272" s="59" t="str">
        <f>IFERROR(Inv_SY!O274/Inv_SY!$Z274-1,"")</f>
        <v/>
      </c>
      <c r="AB272" s="59" t="str">
        <f>IFERROR(Inv_SY!P274/Inv_SY!$Z274-1,"")</f>
        <v/>
      </c>
      <c r="AC272" s="59" t="str">
        <f>IFERROR(Inv_SY!Q274/Inv_SY!$Z274-1,"")</f>
        <v/>
      </c>
      <c r="AD272" s="59" t="str">
        <f>IFERROR(Inv_SY!R274/Inv_SY!$Z274-1,"")</f>
        <v/>
      </c>
      <c r="AE272" s="59" t="str">
        <f>IFERROR(Inv_SY!S274/Inv_SY!$Z274-1,"")</f>
        <v/>
      </c>
      <c r="AF272" s="59" t="str">
        <f>IFERROR(Inv_SY!T274/Inv_SY!$Z274-1,"")</f>
        <v/>
      </c>
      <c r="AG272" s="59" t="str">
        <f>IFERROR(Inv_SY!U274/Inv_SY!$Z274-1,"")</f>
        <v/>
      </c>
      <c r="AH272" s="59" t="str">
        <f>IFERROR(Inv_SY!V274/Inv_SY!$Y274-1,"")</f>
        <v/>
      </c>
      <c r="AI272" s="59" t="str">
        <f>IFERROR(Inv_SY!W274/Inv_SY!$Y274-1,"")</f>
        <v/>
      </c>
      <c r="AJ272" s="59" t="str">
        <f>IFERROR(Inv_SY!X274/Inv_SY!$Y274-1,"")</f>
        <v/>
      </c>
      <c r="AK272" s="59" t="str">
        <f>IFERROR(Inv_SY!V274/Inv_SY!$Z274-1,"")</f>
        <v/>
      </c>
      <c r="AL272" s="59" t="str">
        <f>IFERROR(Inv_SY!W274/Inv_SY!$Z274-1,"")</f>
        <v/>
      </c>
      <c r="AM272" s="59" t="str">
        <f>IFERROR(Inv_SY!X274/Inv_SY!$Z274-1,"")</f>
        <v/>
      </c>
    </row>
    <row r="273" spans="1:39" x14ac:dyDescent="0.3">
      <c r="A273" s="234">
        <f>YEAR(Table5[[#This Row],[Date]])+IF(MONTH(Table5[[#This Row],[Date]])&gt;=4,1,0)</f>
        <v>2026</v>
      </c>
      <c r="B273" s="234"/>
      <c r="C273" s="234">
        <f>YEAR(Table5[[#This Row],[Date]])</f>
        <v>2025</v>
      </c>
      <c r="D273" s="234"/>
      <c r="E273" s="234"/>
      <c r="F273" s="235" t="str">
        <f>TEXT(Table5[[#This Row],[Date]],"mmm-yy")</f>
        <v>Dec-25</v>
      </c>
      <c r="G273" s="234">
        <f t="shared" si="11"/>
        <v>31</v>
      </c>
      <c r="H273" s="122">
        <f t="shared" si="12"/>
        <v>46016</v>
      </c>
      <c r="I273" s="55">
        <v>8.02</v>
      </c>
      <c r="J273" s="59" t="str">
        <f>IFERROR(Inv_SY!J275/Inv_SY!$Y275-1,"")</f>
        <v/>
      </c>
      <c r="K273" s="59" t="str">
        <f>IFERROR(Inv_SY!K275/Inv_SY!$Y275-1,"")</f>
        <v/>
      </c>
      <c r="L273" s="59" t="str">
        <f>IFERROR(Inv_SY!L275/Inv_SY!$Y275-1,"")</f>
        <v/>
      </c>
      <c r="M273" s="59" t="str">
        <f>IFERROR(Inv_SY!M275/Inv_SY!$Y275-1,"")</f>
        <v/>
      </c>
      <c r="N273" s="59" t="str">
        <f>IFERROR(Inv_SY!N275/Inv_SY!$Y275-1,"")</f>
        <v/>
      </c>
      <c r="O273" s="59" t="str">
        <f>IFERROR(Inv_SY!O275/Inv_SY!$Y275-1,"")</f>
        <v/>
      </c>
      <c r="P273" s="59" t="str">
        <f>IFERROR(Inv_SY!P275/Inv_SY!$Y275-1,"")</f>
        <v/>
      </c>
      <c r="Q273" s="59" t="str">
        <f>IFERROR(Inv_SY!Q275/Inv_SY!$Y275-1,"")</f>
        <v/>
      </c>
      <c r="R273" s="59" t="str">
        <f>IFERROR(Inv_SY!R275/Inv_SY!$Y275-1,"")</f>
        <v/>
      </c>
      <c r="S273" s="59" t="str">
        <f>IFERROR(Inv_SY!S275/Inv_SY!$Y275-1,"")</f>
        <v/>
      </c>
      <c r="T273" s="59" t="str">
        <f>IFERROR(Inv_SY!T275/Inv_SY!$Y275-1,"")</f>
        <v/>
      </c>
      <c r="U273" s="59" t="str">
        <f>IFERROR(Inv_SY!U275/Inv_SY!$Y275-1,"")</f>
        <v/>
      </c>
      <c r="V273" s="59" t="str">
        <f>IFERROR(Inv_SY!J275/Inv_SY!$Z275-1,"")</f>
        <v/>
      </c>
      <c r="W273" s="59" t="str">
        <f>IFERROR(Inv_SY!K275/Inv_SY!$Z275-1,"")</f>
        <v/>
      </c>
      <c r="X273" s="59" t="str">
        <f>IFERROR(Inv_SY!L275/Inv_SY!$Z275-1,"")</f>
        <v/>
      </c>
      <c r="Y273" s="59" t="str">
        <f>IFERROR(Inv_SY!M275/Inv_SY!$Z275-1,"")</f>
        <v/>
      </c>
      <c r="Z273" s="59" t="str">
        <f>IFERROR(Inv_SY!N275/Inv_SY!$Z275-1,"")</f>
        <v/>
      </c>
      <c r="AA273" s="59" t="str">
        <f>IFERROR(Inv_SY!O275/Inv_SY!$Z275-1,"")</f>
        <v/>
      </c>
      <c r="AB273" s="59" t="str">
        <f>IFERROR(Inv_SY!P275/Inv_SY!$Z275-1,"")</f>
        <v/>
      </c>
      <c r="AC273" s="59" t="str">
        <f>IFERROR(Inv_SY!Q275/Inv_SY!$Z275-1,"")</f>
        <v/>
      </c>
      <c r="AD273" s="59" t="str">
        <f>IFERROR(Inv_SY!R275/Inv_SY!$Z275-1,"")</f>
        <v/>
      </c>
      <c r="AE273" s="59" t="str">
        <f>IFERROR(Inv_SY!S275/Inv_SY!$Z275-1,"")</f>
        <v/>
      </c>
      <c r="AF273" s="59" t="str">
        <f>IFERROR(Inv_SY!T275/Inv_SY!$Z275-1,"")</f>
        <v/>
      </c>
      <c r="AG273" s="59" t="str">
        <f>IFERROR(Inv_SY!U275/Inv_SY!$Z275-1,"")</f>
        <v/>
      </c>
      <c r="AH273" s="59" t="str">
        <f>IFERROR(Inv_SY!V275/Inv_SY!$Y275-1,"")</f>
        <v/>
      </c>
      <c r="AI273" s="59" t="str">
        <f>IFERROR(Inv_SY!W275/Inv_SY!$Y275-1,"")</f>
        <v/>
      </c>
      <c r="AJ273" s="59" t="str">
        <f>IFERROR(Inv_SY!X275/Inv_SY!$Y275-1,"")</f>
        <v/>
      </c>
      <c r="AK273" s="59" t="str">
        <f>IFERROR(Inv_SY!V275/Inv_SY!$Z275-1,"")</f>
        <v/>
      </c>
      <c r="AL273" s="59" t="str">
        <f>IFERROR(Inv_SY!W275/Inv_SY!$Z275-1,"")</f>
        <v/>
      </c>
      <c r="AM273" s="59" t="str">
        <f>IFERROR(Inv_SY!X275/Inv_SY!$Z275-1,"")</f>
        <v/>
      </c>
    </row>
    <row r="274" spans="1:39" x14ac:dyDescent="0.3">
      <c r="A274" s="234">
        <f>YEAR(Table5[[#This Row],[Date]])+IF(MONTH(Table5[[#This Row],[Date]])&gt;=4,1,0)</f>
        <v>2026</v>
      </c>
      <c r="B274" s="234"/>
      <c r="C274" s="234">
        <f>YEAR(Table5[[#This Row],[Date]])</f>
        <v>2025</v>
      </c>
      <c r="D274" s="234"/>
      <c r="E274" s="234"/>
      <c r="F274" s="235" t="str">
        <f>TEXT(Table5[[#This Row],[Date]],"mmm-yy")</f>
        <v>Dec-25</v>
      </c>
      <c r="G274" s="234">
        <f t="shared" si="11"/>
        <v>31</v>
      </c>
      <c r="H274" s="122">
        <f t="shared" si="12"/>
        <v>46017</v>
      </c>
      <c r="I274" s="55">
        <v>8.02</v>
      </c>
      <c r="J274" s="59" t="str">
        <f>IFERROR(Inv_SY!J276/Inv_SY!$Y276-1,"")</f>
        <v/>
      </c>
      <c r="K274" s="59" t="str">
        <f>IFERROR(Inv_SY!K276/Inv_SY!$Y276-1,"")</f>
        <v/>
      </c>
      <c r="L274" s="59" t="str">
        <f>IFERROR(Inv_SY!L276/Inv_SY!$Y276-1,"")</f>
        <v/>
      </c>
      <c r="M274" s="59" t="str">
        <f>IFERROR(Inv_SY!M276/Inv_SY!$Y276-1,"")</f>
        <v/>
      </c>
      <c r="N274" s="59" t="str">
        <f>IFERROR(Inv_SY!N276/Inv_SY!$Y276-1,"")</f>
        <v/>
      </c>
      <c r="O274" s="59" t="str">
        <f>IFERROR(Inv_SY!O276/Inv_SY!$Y276-1,"")</f>
        <v/>
      </c>
      <c r="P274" s="59" t="str">
        <f>IFERROR(Inv_SY!P276/Inv_SY!$Y276-1,"")</f>
        <v/>
      </c>
      <c r="Q274" s="59" t="str">
        <f>IFERROR(Inv_SY!Q276/Inv_SY!$Y276-1,"")</f>
        <v/>
      </c>
      <c r="R274" s="59" t="str">
        <f>IFERROR(Inv_SY!R276/Inv_SY!$Y276-1,"")</f>
        <v/>
      </c>
      <c r="S274" s="59" t="str">
        <f>IFERROR(Inv_SY!S276/Inv_SY!$Y276-1,"")</f>
        <v/>
      </c>
      <c r="T274" s="59" t="str">
        <f>IFERROR(Inv_SY!T276/Inv_SY!$Y276-1,"")</f>
        <v/>
      </c>
      <c r="U274" s="59" t="str">
        <f>IFERROR(Inv_SY!U276/Inv_SY!$Y276-1,"")</f>
        <v/>
      </c>
      <c r="V274" s="59" t="str">
        <f>IFERROR(Inv_SY!J276/Inv_SY!$Z276-1,"")</f>
        <v/>
      </c>
      <c r="W274" s="59" t="str">
        <f>IFERROR(Inv_SY!K276/Inv_SY!$Z276-1,"")</f>
        <v/>
      </c>
      <c r="X274" s="59" t="str">
        <f>IFERROR(Inv_SY!L276/Inv_SY!$Z276-1,"")</f>
        <v/>
      </c>
      <c r="Y274" s="59" t="str">
        <f>IFERROR(Inv_SY!M276/Inv_SY!$Z276-1,"")</f>
        <v/>
      </c>
      <c r="Z274" s="59" t="str">
        <f>IFERROR(Inv_SY!N276/Inv_SY!$Z276-1,"")</f>
        <v/>
      </c>
      <c r="AA274" s="59" t="str">
        <f>IFERROR(Inv_SY!O276/Inv_SY!$Z276-1,"")</f>
        <v/>
      </c>
      <c r="AB274" s="59" t="str">
        <f>IFERROR(Inv_SY!P276/Inv_SY!$Z276-1,"")</f>
        <v/>
      </c>
      <c r="AC274" s="59" t="str">
        <f>IFERROR(Inv_SY!Q276/Inv_SY!$Z276-1,"")</f>
        <v/>
      </c>
      <c r="AD274" s="59" t="str">
        <f>IFERROR(Inv_SY!R276/Inv_SY!$Z276-1,"")</f>
        <v/>
      </c>
      <c r="AE274" s="59" t="str">
        <f>IFERROR(Inv_SY!S276/Inv_SY!$Z276-1,"")</f>
        <v/>
      </c>
      <c r="AF274" s="59" t="str">
        <f>IFERROR(Inv_SY!T276/Inv_SY!$Z276-1,"")</f>
        <v/>
      </c>
      <c r="AG274" s="59" t="str">
        <f>IFERROR(Inv_SY!U276/Inv_SY!$Z276-1,"")</f>
        <v/>
      </c>
      <c r="AH274" s="59" t="str">
        <f>IFERROR(Inv_SY!V276/Inv_SY!$Y276-1,"")</f>
        <v/>
      </c>
      <c r="AI274" s="59" t="str">
        <f>IFERROR(Inv_SY!W276/Inv_SY!$Y276-1,"")</f>
        <v/>
      </c>
      <c r="AJ274" s="59" t="str">
        <f>IFERROR(Inv_SY!X276/Inv_SY!$Y276-1,"")</f>
        <v/>
      </c>
      <c r="AK274" s="59" t="str">
        <f>IFERROR(Inv_SY!V276/Inv_SY!$Z276-1,"")</f>
        <v/>
      </c>
      <c r="AL274" s="59" t="str">
        <f>IFERROR(Inv_SY!W276/Inv_SY!$Z276-1,"")</f>
        <v/>
      </c>
      <c r="AM274" s="59" t="str">
        <f>IFERROR(Inv_SY!X276/Inv_SY!$Z276-1,"")</f>
        <v/>
      </c>
    </row>
    <row r="275" spans="1:39" x14ac:dyDescent="0.3">
      <c r="A275" s="234">
        <f>YEAR(Table5[[#This Row],[Date]])+IF(MONTH(Table5[[#This Row],[Date]])&gt;=4,1,0)</f>
        <v>2026</v>
      </c>
      <c r="B275" s="234"/>
      <c r="C275" s="234">
        <f>YEAR(Table5[[#This Row],[Date]])</f>
        <v>2025</v>
      </c>
      <c r="D275" s="234"/>
      <c r="E275" s="234"/>
      <c r="F275" s="235" t="str">
        <f>TEXT(Table5[[#This Row],[Date]],"mmm-yy")</f>
        <v>Dec-25</v>
      </c>
      <c r="G275" s="234">
        <f t="shared" si="11"/>
        <v>31</v>
      </c>
      <c r="H275" s="122">
        <f t="shared" si="12"/>
        <v>46018</v>
      </c>
      <c r="I275" s="55">
        <v>8.02</v>
      </c>
      <c r="J275" s="59" t="str">
        <f>IFERROR(Inv_SY!J277/Inv_SY!$Y277-1,"")</f>
        <v/>
      </c>
      <c r="K275" s="59" t="str">
        <f>IFERROR(Inv_SY!K277/Inv_SY!$Y277-1,"")</f>
        <v/>
      </c>
      <c r="L275" s="59" t="str">
        <f>IFERROR(Inv_SY!L277/Inv_SY!$Y277-1,"")</f>
        <v/>
      </c>
      <c r="M275" s="59" t="str">
        <f>IFERROR(Inv_SY!M277/Inv_SY!$Y277-1,"")</f>
        <v/>
      </c>
      <c r="N275" s="59" t="str">
        <f>IFERROR(Inv_SY!N277/Inv_SY!$Y277-1,"")</f>
        <v/>
      </c>
      <c r="O275" s="59" t="str">
        <f>IFERROR(Inv_SY!O277/Inv_SY!$Y277-1,"")</f>
        <v/>
      </c>
      <c r="P275" s="59" t="str">
        <f>IFERROR(Inv_SY!P277/Inv_SY!$Y277-1,"")</f>
        <v/>
      </c>
      <c r="Q275" s="59" t="str">
        <f>IFERROR(Inv_SY!Q277/Inv_SY!$Y277-1,"")</f>
        <v/>
      </c>
      <c r="R275" s="59" t="str">
        <f>IFERROR(Inv_SY!R277/Inv_SY!$Y277-1,"")</f>
        <v/>
      </c>
      <c r="S275" s="59" t="str">
        <f>IFERROR(Inv_SY!S277/Inv_SY!$Y277-1,"")</f>
        <v/>
      </c>
      <c r="T275" s="59" t="str">
        <f>IFERROR(Inv_SY!T277/Inv_SY!$Y277-1,"")</f>
        <v/>
      </c>
      <c r="U275" s="59" t="str">
        <f>IFERROR(Inv_SY!U277/Inv_SY!$Y277-1,"")</f>
        <v/>
      </c>
      <c r="V275" s="59" t="str">
        <f>IFERROR(Inv_SY!J277/Inv_SY!$Z277-1,"")</f>
        <v/>
      </c>
      <c r="W275" s="59" t="str">
        <f>IFERROR(Inv_SY!K277/Inv_SY!$Z277-1,"")</f>
        <v/>
      </c>
      <c r="X275" s="59" t="str">
        <f>IFERROR(Inv_SY!L277/Inv_SY!$Z277-1,"")</f>
        <v/>
      </c>
      <c r="Y275" s="59" t="str">
        <f>IFERROR(Inv_SY!M277/Inv_SY!$Z277-1,"")</f>
        <v/>
      </c>
      <c r="Z275" s="59" t="str">
        <f>IFERROR(Inv_SY!N277/Inv_SY!$Z277-1,"")</f>
        <v/>
      </c>
      <c r="AA275" s="59" t="str">
        <f>IFERROR(Inv_SY!O277/Inv_SY!$Z277-1,"")</f>
        <v/>
      </c>
      <c r="AB275" s="59" t="str">
        <f>IFERROR(Inv_SY!P277/Inv_SY!$Z277-1,"")</f>
        <v/>
      </c>
      <c r="AC275" s="59" t="str">
        <f>IFERROR(Inv_SY!Q277/Inv_SY!$Z277-1,"")</f>
        <v/>
      </c>
      <c r="AD275" s="59" t="str">
        <f>IFERROR(Inv_SY!R277/Inv_SY!$Z277-1,"")</f>
        <v/>
      </c>
      <c r="AE275" s="59" t="str">
        <f>IFERROR(Inv_SY!S277/Inv_SY!$Z277-1,"")</f>
        <v/>
      </c>
      <c r="AF275" s="59" t="str">
        <f>IFERROR(Inv_SY!T277/Inv_SY!$Z277-1,"")</f>
        <v/>
      </c>
      <c r="AG275" s="59" t="str">
        <f>IFERROR(Inv_SY!U277/Inv_SY!$Z277-1,"")</f>
        <v/>
      </c>
      <c r="AH275" s="59" t="str">
        <f>IFERROR(Inv_SY!V277/Inv_SY!$Y277-1,"")</f>
        <v/>
      </c>
      <c r="AI275" s="59" t="str">
        <f>IFERROR(Inv_SY!W277/Inv_SY!$Y277-1,"")</f>
        <v/>
      </c>
      <c r="AJ275" s="59" t="str">
        <f>IFERROR(Inv_SY!X277/Inv_SY!$Y277-1,"")</f>
        <v/>
      </c>
      <c r="AK275" s="59" t="str">
        <f>IFERROR(Inv_SY!V277/Inv_SY!$Z277-1,"")</f>
        <v/>
      </c>
      <c r="AL275" s="59" t="str">
        <f>IFERROR(Inv_SY!W277/Inv_SY!$Z277-1,"")</f>
        <v/>
      </c>
      <c r="AM275" s="59" t="str">
        <f>IFERROR(Inv_SY!X277/Inv_SY!$Z277-1,"")</f>
        <v/>
      </c>
    </row>
    <row r="276" spans="1:39" x14ac:dyDescent="0.3">
      <c r="A276" s="234">
        <f>YEAR(Table5[[#This Row],[Date]])+IF(MONTH(Table5[[#This Row],[Date]])&gt;=4,1,0)</f>
        <v>2026</v>
      </c>
      <c r="B276" s="234"/>
      <c r="C276" s="234">
        <f>YEAR(Table5[[#This Row],[Date]])</f>
        <v>2025</v>
      </c>
      <c r="D276" s="234"/>
      <c r="E276" s="234"/>
      <c r="F276" s="235" t="str">
        <f>TEXT(Table5[[#This Row],[Date]],"mmm-yy")</f>
        <v>Dec-25</v>
      </c>
      <c r="G276" s="234">
        <f t="shared" si="11"/>
        <v>31</v>
      </c>
      <c r="H276" s="122">
        <f t="shared" si="12"/>
        <v>46019</v>
      </c>
      <c r="I276" s="55">
        <v>8.02</v>
      </c>
      <c r="J276" s="59" t="str">
        <f>IFERROR(Inv_SY!J278/Inv_SY!$Y278-1,"")</f>
        <v/>
      </c>
      <c r="K276" s="59" t="str">
        <f>IFERROR(Inv_SY!K278/Inv_SY!$Y278-1,"")</f>
        <v/>
      </c>
      <c r="L276" s="59" t="str">
        <f>IFERROR(Inv_SY!L278/Inv_SY!$Y278-1,"")</f>
        <v/>
      </c>
      <c r="M276" s="59" t="str">
        <f>IFERROR(Inv_SY!M278/Inv_SY!$Y278-1,"")</f>
        <v/>
      </c>
      <c r="N276" s="59" t="str">
        <f>IFERROR(Inv_SY!N278/Inv_SY!$Y278-1,"")</f>
        <v/>
      </c>
      <c r="O276" s="59" t="str">
        <f>IFERROR(Inv_SY!O278/Inv_SY!$Y278-1,"")</f>
        <v/>
      </c>
      <c r="P276" s="59" t="str">
        <f>IFERROR(Inv_SY!P278/Inv_SY!$Y278-1,"")</f>
        <v/>
      </c>
      <c r="Q276" s="59" t="str">
        <f>IFERROR(Inv_SY!Q278/Inv_SY!$Y278-1,"")</f>
        <v/>
      </c>
      <c r="R276" s="59" t="str">
        <f>IFERROR(Inv_SY!R278/Inv_SY!$Y278-1,"")</f>
        <v/>
      </c>
      <c r="S276" s="59" t="str">
        <f>IFERROR(Inv_SY!S278/Inv_SY!$Y278-1,"")</f>
        <v/>
      </c>
      <c r="T276" s="59" t="str">
        <f>IFERROR(Inv_SY!T278/Inv_SY!$Y278-1,"")</f>
        <v/>
      </c>
      <c r="U276" s="59" t="str">
        <f>IFERROR(Inv_SY!U278/Inv_SY!$Y278-1,"")</f>
        <v/>
      </c>
      <c r="V276" s="59" t="str">
        <f>IFERROR(Inv_SY!J278/Inv_SY!$Z278-1,"")</f>
        <v/>
      </c>
      <c r="W276" s="59" t="str">
        <f>IFERROR(Inv_SY!K278/Inv_SY!$Z278-1,"")</f>
        <v/>
      </c>
      <c r="X276" s="59" t="str">
        <f>IFERROR(Inv_SY!L278/Inv_SY!$Z278-1,"")</f>
        <v/>
      </c>
      <c r="Y276" s="59" t="str">
        <f>IFERROR(Inv_SY!M278/Inv_SY!$Z278-1,"")</f>
        <v/>
      </c>
      <c r="Z276" s="59" t="str">
        <f>IFERROR(Inv_SY!N278/Inv_SY!$Z278-1,"")</f>
        <v/>
      </c>
      <c r="AA276" s="59" t="str">
        <f>IFERROR(Inv_SY!O278/Inv_SY!$Z278-1,"")</f>
        <v/>
      </c>
      <c r="AB276" s="59" t="str">
        <f>IFERROR(Inv_SY!P278/Inv_SY!$Z278-1,"")</f>
        <v/>
      </c>
      <c r="AC276" s="59" t="str">
        <f>IFERROR(Inv_SY!Q278/Inv_SY!$Z278-1,"")</f>
        <v/>
      </c>
      <c r="AD276" s="59" t="str">
        <f>IFERROR(Inv_SY!R278/Inv_SY!$Z278-1,"")</f>
        <v/>
      </c>
      <c r="AE276" s="59" t="str">
        <f>IFERROR(Inv_SY!S278/Inv_SY!$Z278-1,"")</f>
        <v/>
      </c>
      <c r="AF276" s="59" t="str">
        <f>IFERROR(Inv_SY!T278/Inv_SY!$Z278-1,"")</f>
        <v/>
      </c>
      <c r="AG276" s="59" t="str">
        <f>IFERROR(Inv_SY!U278/Inv_SY!$Z278-1,"")</f>
        <v/>
      </c>
      <c r="AH276" s="59" t="str">
        <f>IFERROR(Inv_SY!V278/Inv_SY!$Y278-1,"")</f>
        <v/>
      </c>
      <c r="AI276" s="59" t="str">
        <f>IFERROR(Inv_SY!W278/Inv_SY!$Y278-1,"")</f>
        <v/>
      </c>
      <c r="AJ276" s="59" t="str">
        <f>IFERROR(Inv_SY!X278/Inv_SY!$Y278-1,"")</f>
        <v/>
      </c>
      <c r="AK276" s="59" t="str">
        <f>IFERROR(Inv_SY!V278/Inv_SY!$Z278-1,"")</f>
        <v/>
      </c>
      <c r="AL276" s="59" t="str">
        <f>IFERROR(Inv_SY!W278/Inv_SY!$Z278-1,"")</f>
        <v/>
      </c>
      <c r="AM276" s="59" t="str">
        <f>IFERROR(Inv_SY!X278/Inv_SY!$Z278-1,"")</f>
        <v/>
      </c>
    </row>
    <row r="277" spans="1:39" x14ac:dyDescent="0.3">
      <c r="A277" s="234">
        <f>YEAR(Table5[[#This Row],[Date]])+IF(MONTH(Table5[[#This Row],[Date]])&gt;=4,1,0)</f>
        <v>2026</v>
      </c>
      <c r="B277" s="234"/>
      <c r="C277" s="234">
        <f>YEAR(Table5[[#This Row],[Date]])</f>
        <v>2025</v>
      </c>
      <c r="D277" s="234"/>
      <c r="E277" s="234"/>
      <c r="F277" s="235" t="str">
        <f>TEXT(Table5[[#This Row],[Date]],"mmm-yy")</f>
        <v>Dec-25</v>
      </c>
      <c r="G277" s="234">
        <f t="shared" si="11"/>
        <v>31</v>
      </c>
      <c r="H277" s="122">
        <f t="shared" si="12"/>
        <v>46020</v>
      </c>
      <c r="I277" s="55">
        <v>8.02</v>
      </c>
      <c r="J277" s="59" t="str">
        <f>IFERROR(Inv_SY!J279/Inv_SY!$Y279-1,"")</f>
        <v/>
      </c>
      <c r="K277" s="59" t="str">
        <f>IFERROR(Inv_SY!K279/Inv_SY!$Y279-1,"")</f>
        <v/>
      </c>
      <c r="L277" s="59" t="str">
        <f>IFERROR(Inv_SY!L279/Inv_SY!$Y279-1,"")</f>
        <v/>
      </c>
      <c r="M277" s="59" t="str">
        <f>IFERROR(Inv_SY!M279/Inv_SY!$Y279-1,"")</f>
        <v/>
      </c>
      <c r="N277" s="59" t="str">
        <f>IFERROR(Inv_SY!N279/Inv_SY!$Y279-1,"")</f>
        <v/>
      </c>
      <c r="O277" s="59" t="str">
        <f>IFERROR(Inv_SY!O279/Inv_SY!$Y279-1,"")</f>
        <v/>
      </c>
      <c r="P277" s="59" t="str">
        <f>IFERROR(Inv_SY!P279/Inv_SY!$Y279-1,"")</f>
        <v/>
      </c>
      <c r="Q277" s="59" t="str">
        <f>IFERROR(Inv_SY!Q279/Inv_SY!$Y279-1,"")</f>
        <v/>
      </c>
      <c r="R277" s="59" t="str">
        <f>IFERROR(Inv_SY!R279/Inv_SY!$Y279-1,"")</f>
        <v/>
      </c>
      <c r="S277" s="59" t="str">
        <f>IFERROR(Inv_SY!S279/Inv_SY!$Y279-1,"")</f>
        <v/>
      </c>
      <c r="T277" s="59" t="str">
        <f>IFERROR(Inv_SY!T279/Inv_SY!$Y279-1,"")</f>
        <v/>
      </c>
      <c r="U277" s="59" t="str">
        <f>IFERROR(Inv_SY!U279/Inv_SY!$Y279-1,"")</f>
        <v/>
      </c>
      <c r="V277" s="59" t="str">
        <f>IFERROR(Inv_SY!J279/Inv_SY!$Z279-1,"")</f>
        <v/>
      </c>
      <c r="W277" s="59" t="str">
        <f>IFERROR(Inv_SY!K279/Inv_SY!$Z279-1,"")</f>
        <v/>
      </c>
      <c r="X277" s="59" t="str">
        <f>IFERROR(Inv_SY!L279/Inv_SY!$Z279-1,"")</f>
        <v/>
      </c>
      <c r="Y277" s="59" t="str">
        <f>IFERROR(Inv_SY!M279/Inv_SY!$Z279-1,"")</f>
        <v/>
      </c>
      <c r="Z277" s="59" t="str">
        <f>IFERROR(Inv_SY!N279/Inv_SY!$Z279-1,"")</f>
        <v/>
      </c>
      <c r="AA277" s="59" t="str">
        <f>IFERROR(Inv_SY!O279/Inv_SY!$Z279-1,"")</f>
        <v/>
      </c>
      <c r="AB277" s="59" t="str">
        <f>IFERROR(Inv_SY!P279/Inv_SY!$Z279-1,"")</f>
        <v/>
      </c>
      <c r="AC277" s="59" t="str">
        <f>IFERROR(Inv_SY!Q279/Inv_SY!$Z279-1,"")</f>
        <v/>
      </c>
      <c r="AD277" s="59" t="str">
        <f>IFERROR(Inv_SY!R279/Inv_SY!$Z279-1,"")</f>
        <v/>
      </c>
      <c r="AE277" s="59" t="str">
        <f>IFERROR(Inv_SY!S279/Inv_SY!$Z279-1,"")</f>
        <v/>
      </c>
      <c r="AF277" s="59" t="str">
        <f>IFERROR(Inv_SY!T279/Inv_SY!$Z279-1,"")</f>
        <v/>
      </c>
      <c r="AG277" s="59" t="str">
        <f>IFERROR(Inv_SY!U279/Inv_SY!$Z279-1,"")</f>
        <v/>
      </c>
      <c r="AH277" s="59" t="str">
        <f>IFERROR(Inv_SY!V279/Inv_SY!$Y279-1,"")</f>
        <v/>
      </c>
      <c r="AI277" s="59" t="str">
        <f>IFERROR(Inv_SY!W279/Inv_SY!$Y279-1,"")</f>
        <v/>
      </c>
      <c r="AJ277" s="59" t="str">
        <f>IFERROR(Inv_SY!X279/Inv_SY!$Y279-1,"")</f>
        <v/>
      </c>
      <c r="AK277" s="59" t="str">
        <f>IFERROR(Inv_SY!V279/Inv_SY!$Z279-1,"")</f>
        <v/>
      </c>
      <c r="AL277" s="59" t="str">
        <f>IFERROR(Inv_SY!W279/Inv_SY!$Z279-1,"")</f>
        <v/>
      </c>
      <c r="AM277" s="59" t="str">
        <f>IFERROR(Inv_SY!X279/Inv_SY!$Z279-1,"")</f>
        <v/>
      </c>
    </row>
    <row r="278" spans="1:39" x14ac:dyDescent="0.3">
      <c r="A278" s="234">
        <f>YEAR(Table5[[#This Row],[Date]])+IF(MONTH(Table5[[#This Row],[Date]])&gt;=4,1,0)</f>
        <v>2026</v>
      </c>
      <c r="B278" s="234"/>
      <c r="C278" s="234">
        <f>YEAR(Table5[[#This Row],[Date]])</f>
        <v>2025</v>
      </c>
      <c r="D278" s="234"/>
      <c r="E278" s="234"/>
      <c r="F278" s="235" t="str">
        <f>TEXT(Table5[[#This Row],[Date]],"mmm-yy")</f>
        <v>Dec-25</v>
      </c>
      <c r="G278" s="234">
        <f t="shared" si="11"/>
        <v>31</v>
      </c>
      <c r="H278" s="122">
        <f t="shared" si="12"/>
        <v>46021</v>
      </c>
      <c r="I278" s="55">
        <v>8.02</v>
      </c>
      <c r="J278" s="59" t="str">
        <f>IFERROR(Inv_SY!J280/Inv_SY!$Y280-1,"")</f>
        <v/>
      </c>
      <c r="K278" s="59" t="str">
        <f>IFERROR(Inv_SY!K280/Inv_SY!$Y280-1,"")</f>
        <v/>
      </c>
      <c r="L278" s="59" t="str">
        <f>IFERROR(Inv_SY!L280/Inv_SY!$Y280-1,"")</f>
        <v/>
      </c>
      <c r="M278" s="59" t="str">
        <f>IFERROR(Inv_SY!M280/Inv_SY!$Y280-1,"")</f>
        <v/>
      </c>
      <c r="N278" s="59" t="str">
        <f>IFERROR(Inv_SY!N280/Inv_SY!$Y280-1,"")</f>
        <v/>
      </c>
      <c r="O278" s="59" t="str">
        <f>IFERROR(Inv_SY!O280/Inv_SY!$Y280-1,"")</f>
        <v/>
      </c>
      <c r="P278" s="59" t="str">
        <f>IFERROR(Inv_SY!P280/Inv_SY!$Y280-1,"")</f>
        <v/>
      </c>
      <c r="Q278" s="59" t="str">
        <f>IFERROR(Inv_SY!Q280/Inv_SY!$Y280-1,"")</f>
        <v/>
      </c>
      <c r="R278" s="59" t="str">
        <f>IFERROR(Inv_SY!R280/Inv_SY!$Y280-1,"")</f>
        <v/>
      </c>
      <c r="S278" s="59" t="str">
        <f>IFERROR(Inv_SY!S280/Inv_SY!$Y280-1,"")</f>
        <v/>
      </c>
      <c r="T278" s="59" t="str">
        <f>IFERROR(Inv_SY!T280/Inv_SY!$Y280-1,"")</f>
        <v/>
      </c>
      <c r="U278" s="59" t="str">
        <f>IFERROR(Inv_SY!U280/Inv_SY!$Y280-1,"")</f>
        <v/>
      </c>
      <c r="V278" s="59" t="str">
        <f>IFERROR(Inv_SY!J280/Inv_SY!$Z280-1,"")</f>
        <v/>
      </c>
      <c r="W278" s="59" t="str">
        <f>IFERROR(Inv_SY!K280/Inv_SY!$Z280-1,"")</f>
        <v/>
      </c>
      <c r="X278" s="59" t="str">
        <f>IFERROR(Inv_SY!L280/Inv_SY!$Z280-1,"")</f>
        <v/>
      </c>
      <c r="Y278" s="59" t="str">
        <f>IFERROR(Inv_SY!M280/Inv_SY!$Z280-1,"")</f>
        <v/>
      </c>
      <c r="Z278" s="59" t="str">
        <f>IFERROR(Inv_SY!N280/Inv_SY!$Z280-1,"")</f>
        <v/>
      </c>
      <c r="AA278" s="59" t="str">
        <f>IFERROR(Inv_SY!O280/Inv_SY!$Z280-1,"")</f>
        <v/>
      </c>
      <c r="AB278" s="59" t="str">
        <f>IFERROR(Inv_SY!P280/Inv_SY!$Z280-1,"")</f>
        <v/>
      </c>
      <c r="AC278" s="59" t="str">
        <f>IFERROR(Inv_SY!Q280/Inv_SY!$Z280-1,"")</f>
        <v/>
      </c>
      <c r="AD278" s="59" t="str">
        <f>IFERROR(Inv_SY!R280/Inv_SY!$Z280-1,"")</f>
        <v/>
      </c>
      <c r="AE278" s="59" t="str">
        <f>IFERROR(Inv_SY!S280/Inv_SY!$Z280-1,"")</f>
        <v/>
      </c>
      <c r="AF278" s="59" t="str">
        <f>IFERROR(Inv_SY!T280/Inv_SY!$Z280-1,"")</f>
        <v/>
      </c>
      <c r="AG278" s="59" t="str">
        <f>IFERROR(Inv_SY!U280/Inv_SY!$Z280-1,"")</f>
        <v/>
      </c>
      <c r="AH278" s="59" t="str">
        <f>IFERROR(Inv_SY!V280/Inv_SY!$Y280-1,"")</f>
        <v/>
      </c>
      <c r="AI278" s="59" t="str">
        <f>IFERROR(Inv_SY!W280/Inv_SY!$Y280-1,"")</f>
        <v/>
      </c>
      <c r="AJ278" s="59" t="str">
        <f>IFERROR(Inv_SY!X280/Inv_SY!$Y280-1,"")</f>
        <v/>
      </c>
      <c r="AK278" s="59" t="str">
        <f>IFERROR(Inv_SY!V280/Inv_SY!$Z280-1,"")</f>
        <v/>
      </c>
      <c r="AL278" s="59" t="str">
        <f>IFERROR(Inv_SY!W280/Inv_SY!$Z280-1,"")</f>
        <v/>
      </c>
      <c r="AM278" s="59" t="str">
        <f>IFERROR(Inv_SY!X280/Inv_SY!$Z280-1,"")</f>
        <v/>
      </c>
    </row>
    <row r="279" spans="1:39" x14ac:dyDescent="0.3">
      <c r="A279" s="234">
        <f>YEAR(Table5[[#This Row],[Date]])+IF(MONTH(Table5[[#This Row],[Date]])&gt;=4,1,0)</f>
        <v>2026</v>
      </c>
      <c r="B279" s="234"/>
      <c r="C279" s="234">
        <f>YEAR(Table5[[#This Row],[Date]])</f>
        <v>2025</v>
      </c>
      <c r="D279" s="234"/>
      <c r="E279" s="234"/>
      <c r="F279" s="235" t="str">
        <f>TEXT(Table5[[#This Row],[Date]],"mmm-yy")</f>
        <v>Dec-25</v>
      </c>
      <c r="G279" s="234">
        <f t="shared" si="11"/>
        <v>31</v>
      </c>
      <c r="H279" s="122">
        <f t="shared" si="12"/>
        <v>46022</v>
      </c>
      <c r="I279" s="55">
        <v>8.02</v>
      </c>
      <c r="J279" s="59" t="str">
        <f>IFERROR(Inv_SY!J281/Inv_SY!$Y281-1,"")</f>
        <v/>
      </c>
      <c r="K279" s="59" t="str">
        <f>IFERROR(Inv_SY!K281/Inv_SY!$Y281-1,"")</f>
        <v/>
      </c>
      <c r="L279" s="59" t="str">
        <f>IFERROR(Inv_SY!L281/Inv_SY!$Y281-1,"")</f>
        <v/>
      </c>
      <c r="M279" s="59" t="str">
        <f>IFERROR(Inv_SY!M281/Inv_SY!$Y281-1,"")</f>
        <v/>
      </c>
      <c r="N279" s="59" t="str">
        <f>IFERROR(Inv_SY!N281/Inv_SY!$Y281-1,"")</f>
        <v/>
      </c>
      <c r="O279" s="59" t="str">
        <f>IFERROR(Inv_SY!O281/Inv_SY!$Y281-1,"")</f>
        <v/>
      </c>
      <c r="P279" s="59" t="str">
        <f>IFERROR(Inv_SY!P281/Inv_SY!$Y281-1,"")</f>
        <v/>
      </c>
      <c r="Q279" s="59" t="str">
        <f>IFERROR(Inv_SY!Q281/Inv_SY!$Y281-1,"")</f>
        <v/>
      </c>
      <c r="R279" s="59" t="str">
        <f>IFERROR(Inv_SY!R281/Inv_SY!$Y281-1,"")</f>
        <v/>
      </c>
      <c r="S279" s="59" t="str">
        <f>IFERROR(Inv_SY!S281/Inv_SY!$Y281-1,"")</f>
        <v/>
      </c>
      <c r="T279" s="59" t="str">
        <f>IFERROR(Inv_SY!T281/Inv_SY!$Y281-1,"")</f>
        <v/>
      </c>
      <c r="U279" s="59" t="str">
        <f>IFERROR(Inv_SY!U281/Inv_SY!$Y281-1,"")</f>
        <v/>
      </c>
      <c r="V279" s="59" t="str">
        <f>IFERROR(Inv_SY!J281/Inv_SY!$Z281-1,"")</f>
        <v/>
      </c>
      <c r="W279" s="59" t="str">
        <f>IFERROR(Inv_SY!K281/Inv_SY!$Z281-1,"")</f>
        <v/>
      </c>
      <c r="X279" s="59" t="str">
        <f>IFERROR(Inv_SY!L281/Inv_SY!$Z281-1,"")</f>
        <v/>
      </c>
      <c r="Y279" s="59" t="str">
        <f>IFERROR(Inv_SY!M281/Inv_SY!$Z281-1,"")</f>
        <v/>
      </c>
      <c r="Z279" s="59" t="str">
        <f>IFERROR(Inv_SY!N281/Inv_SY!$Z281-1,"")</f>
        <v/>
      </c>
      <c r="AA279" s="59" t="str">
        <f>IFERROR(Inv_SY!O281/Inv_SY!$Z281-1,"")</f>
        <v/>
      </c>
      <c r="AB279" s="59" t="str">
        <f>IFERROR(Inv_SY!P281/Inv_SY!$Z281-1,"")</f>
        <v/>
      </c>
      <c r="AC279" s="59" t="str">
        <f>IFERROR(Inv_SY!Q281/Inv_SY!$Z281-1,"")</f>
        <v/>
      </c>
      <c r="AD279" s="59" t="str">
        <f>IFERROR(Inv_SY!R281/Inv_SY!$Z281-1,"")</f>
        <v/>
      </c>
      <c r="AE279" s="59" t="str">
        <f>IFERROR(Inv_SY!S281/Inv_SY!$Z281-1,"")</f>
        <v/>
      </c>
      <c r="AF279" s="59" t="str">
        <f>IFERROR(Inv_SY!T281/Inv_SY!$Z281-1,"")</f>
        <v/>
      </c>
      <c r="AG279" s="59" t="str">
        <f>IFERROR(Inv_SY!U281/Inv_SY!$Z281-1,"")</f>
        <v/>
      </c>
      <c r="AH279" s="59" t="str">
        <f>IFERROR(Inv_SY!V281/Inv_SY!$Y281-1,"")</f>
        <v/>
      </c>
      <c r="AI279" s="59" t="str">
        <f>IFERROR(Inv_SY!W281/Inv_SY!$Y281-1,"")</f>
        <v/>
      </c>
      <c r="AJ279" s="59" t="str">
        <f>IFERROR(Inv_SY!X281/Inv_SY!$Y281-1,"")</f>
        <v/>
      </c>
      <c r="AK279" s="59" t="str">
        <f>IFERROR(Inv_SY!V281/Inv_SY!$Z281-1,"")</f>
        <v/>
      </c>
      <c r="AL279" s="59" t="str">
        <f>IFERROR(Inv_SY!W281/Inv_SY!$Z281-1,"")</f>
        <v/>
      </c>
      <c r="AM279" s="59" t="str">
        <f>IFERROR(Inv_SY!X281/Inv_SY!$Z281-1,"")</f>
        <v/>
      </c>
    </row>
    <row r="280" spans="1:39" x14ac:dyDescent="0.3">
      <c r="A280" s="234">
        <f>YEAR(Table5[[#This Row],[Date]])+IF(MONTH(Table5[[#This Row],[Date]])&gt;=4,1,0)</f>
        <v>2026</v>
      </c>
      <c r="B280" s="234"/>
      <c r="C280" s="234">
        <f>YEAR(Table5[[#This Row],[Date]])</f>
        <v>2026</v>
      </c>
      <c r="D280" s="234"/>
      <c r="E280" s="234"/>
      <c r="F280" s="235" t="str">
        <f>TEXT(Table5[[#This Row],[Date]],"mmm-yy")</f>
        <v>Jan-26</v>
      </c>
      <c r="G280" s="234">
        <f t="shared" si="11"/>
        <v>31</v>
      </c>
      <c r="H280" s="122">
        <f t="shared" si="12"/>
        <v>46023</v>
      </c>
      <c r="I280" s="55">
        <v>8.02</v>
      </c>
      <c r="J280" s="59" t="str">
        <f>IFERROR(Inv_SY!J282/Inv_SY!$Y282-1,"")</f>
        <v/>
      </c>
      <c r="K280" s="59" t="str">
        <f>IFERROR(Inv_SY!K282/Inv_SY!$Y282-1,"")</f>
        <v/>
      </c>
      <c r="L280" s="59" t="str">
        <f>IFERROR(Inv_SY!L282/Inv_SY!$Y282-1,"")</f>
        <v/>
      </c>
      <c r="M280" s="59" t="str">
        <f>IFERROR(Inv_SY!M282/Inv_SY!$Y282-1,"")</f>
        <v/>
      </c>
      <c r="N280" s="59" t="str">
        <f>IFERROR(Inv_SY!N282/Inv_SY!$Y282-1,"")</f>
        <v/>
      </c>
      <c r="O280" s="59" t="str">
        <f>IFERROR(Inv_SY!O282/Inv_SY!$Y282-1,"")</f>
        <v/>
      </c>
      <c r="P280" s="59" t="str">
        <f>IFERROR(Inv_SY!P282/Inv_SY!$Y282-1,"")</f>
        <v/>
      </c>
      <c r="Q280" s="59" t="str">
        <f>IFERROR(Inv_SY!Q282/Inv_SY!$Y282-1,"")</f>
        <v/>
      </c>
      <c r="R280" s="59" t="str">
        <f>IFERROR(Inv_SY!R282/Inv_SY!$Y282-1,"")</f>
        <v/>
      </c>
      <c r="S280" s="59" t="str">
        <f>IFERROR(Inv_SY!S282/Inv_SY!$Y282-1,"")</f>
        <v/>
      </c>
      <c r="T280" s="59" t="str">
        <f>IFERROR(Inv_SY!T282/Inv_SY!$Y282-1,"")</f>
        <v/>
      </c>
      <c r="U280" s="59" t="str">
        <f>IFERROR(Inv_SY!U282/Inv_SY!$Y282-1,"")</f>
        <v/>
      </c>
      <c r="V280" s="59" t="str">
        <f>IFERROR(Inv_SY!J282/Inv_SY!$Z282-1,"")</f>
        <v/>
      </c>
      <c r="W280" s="59" t="str">
        <f>IFERROR(Inv_SY!K282/Inv_SY!$Z282-1,"")</f>
        <v/>
      </c>
      <c r="X280" s="59" t="str">
        <f>IFERROR(Inv_SY!L282/Inv_SY!$Z282-1,"")</f>
        <v/>
      </c>
      <c r="Y280" s="59" t="str">
        <f>IFERROR(Inv_SY!M282/Inv_SY!$Z282-1,"")</f>
        <v/>
      </c>
      <c r="Z280" s="59" t="str">
        <f>IFERROR(Inv_SY!N282/Inv_SY!$Z282-1,"")</f>
        <v/>
      </c>
      <c r="AA280" s="59" t="str">
        <f>IFERROR(Inv_SY!O282/Inv_SY!$Z282-1,"")</f>
        <v/>
      </c>
      <c r="AB280" s="59" t="str">
        <f>IFERROR(Inv_SY!P282/Inv_SY!$Z282-1,"")</f>
        <v/>
      </c>
      <c r="AC280" s="59" t="str">
        <f>IFERROR(Inv_SY!Q282/Inv_SY!$Z282-1,"")</f>
        <v/>
      </c>
      <c r="AD280" s="59" t="str">
        <f>IFERROR(Inv_SY!R282/Inv_SY!$Z282-1,"")</f>
        <v/>
      </c>
      <c r="AE280" s="59" t="str">
        <f>IFERROR(Inv_SY!S282/Inv_SY!$Z282-1,"")</f>
        <v/>
      </c>
      <c r="AF280" s="59" t="str">
        <f>IFERROR(Inv_SY!T282/Inv_SY!$Z282-1,"")</f>
        <v/>
      </c>
      <c r="AG280" s="59" t="str">
        <f>IFERROR(Inv_SY!U282/Inv_SY!$Z282-1,"")</f>
        <v/>
      </c>
      <c r="AH280" s="59" t="str">
        <f>IFERROR(Inv_SY!V282/Inv_SY!$Y282-1,"")</f>
        <v/>
      </c>
      <c r="AI280" s="59" t="str">
        <f>IFERROR(Inv_SY!W282/Inv_SY!$Y282-1,"")</f>
        <v/>
      </c>
      <c r="AJ280" s="59" t="str">
        <f>IFERROR(Inv_SY!X282/Inv_SY!$Y282-1,"")</f>
        <v/>
      </c>
      <c r="AK280" s="59" t="str">
        <f>IFERROR(Inv_SY!V282/Inv_SY!$Z282-1,"")</f>
        <v/>
      </c>
      <c r="AL280" s="59" t="str">
        <f>IFERROR(Inv_SY!W282/Inv_SY!$Z282-1,"")</f>
        <v/>
      </c>
      <c r="AM280" s="59" t="str">
        <f>IFERROR(Inv_SY!X282/Inv_SY!$Z282-1,"")</f>
        <v/>
      </c>
    </row>
    <row r="281" spans="1:39" x14ac:dyDescent="0.3">
      <c r="A281" s="234">
        <f>YEAR(Table5[[#This Row],[Date]])+IF(MONTH(Table5[[#This Row],[Date]])&gt;=4,1,0)</f>
        <v>2026</v>
      </c>
      <c r="B281" s="234"/>
      <c r="C281" s="234">
        <f>YEAR(Table5[[#This Row],[Date]])</f>
        <v>2026</v>
      </c>
      <c r="D281" s="234"/>
      <c r="E281" s="234"/>
      <c r="F281" s="235" t="str">
        <f>TEXT(Table5[[#This Row],[Date]],"mmm-yy")</f>
        <v>Jan-26</v>
      </c>
      <c r="G281" s="234">
        <f t="shared" si="11"/>
        <v>31</v>
      </c>
      <c r="H281" s="122">
        <f t="shared" si="12"/>
        <v>46024</v>
      </c>
      <c r="I281" s="55">
        <v>8.02</v>
      </c>
      <c r="J281" s="59" t="str">
        <f>IFERROR(Inv_SY!J283/Inv_SY!$Y283-1,"")</f>
        <v/>
      </c>
      <c r="K281" s="59" t="str">
        <f>IFERROR(Inv_SY!K283/Inv_SY!$Y283-1,"")</f>
        <v/>
      </c>
      <c r="L281" s="59" t="str">
        <f>IFERROR(Inv_SY!L283/Inv_SY!$Y283-1,"")</f>
        <v/>
      </c>
      <c r="M281" s="59" t="str">
        <f>IFERROR(Inv_SY!M283/Inv_SY!$Y283-1,"")</f>
        <v/>
      </c>
      <c r="N281" s="59" t="str">
        <f>IFERROR(Inv_SY!N283/Inv_SY!$Y283-1,"")</f>
        <v/>
      </c>
      <c r="O281" s="59" t="str">
        <f>IFERROR(Inv_SY!O283/Inv_SY!$Y283-1,"")</f>
        <v/>
      </c>
      <c r="P281" s="59" t="str">
        <f>IFERROR(Inv_SY!P283/Inv_SY!$Y283-1,"")</f>
        <v/>
      </c>
      <c r="Q281" s="59" t="str">
        <f>IFERROR(Inv_SY!Q283/Inv_SY!$Y283-1,"")</f>
        <v/>
      </c>
      <c r="R281" s="59" t="str">
        <f>IFERROR(Inv_SY!R283/Inv_SY!$Y283-1,"")</f>
        <v/>
      </c>
      <c r="S281" s="59" t="str">
        <f>IFERROR(Inv_SY!S283/Inv_SY!$Y283-1,"")</f>
        <v/>
      </c>
      <c r="T281" s="59" t="str">
        <f>IFERROR(Inv_SY!T283/Inv_SY!$Y283-1,"")</f>
        <v/>
      </c>
      <c r="U281" s="59" t="str">
        <f>IFERROR(Inv_SY!U283/Inv_SY!$Y283-1,"")</f>
        <v/>
      </c>
      <c r="V281" s="59" t="str">
        <f>IFERROR(Inv_SY!J283/Inv_SY!$Z283-1,"")</f>
        <v/>
      </c>
      <c r="W281" s="59" t="str">
        <f>IFERROR(Inv_SY!K283/Inv_SY!$Z283-1,"")</f>
        <v/>
      </c>
      <c r="X281" s="59" t="str">
        <f>IFERROR(Inv_SY!L283/Inv_SY!$Z283-1,"")</f>
        <v/>
      </c>
      <c r="Y281" s="59" t="str">
        <f>IFERROR(Inv_SY!M283/Inv_SY!$Z283-1,"")</f>
        <v/>
      </c>
      <c r="Z281" s="59" t="str">
        <f>IFERROR(Inv_SY!N283/Inv_SY!$Z283-1,"")</f>
        <v/>
      </c>
      <c r="AA281" s="59" t="str">
        <f>IFERROR(Inv_SY!O283/Inv_SY!$Z283-1,"")</f>
        <v/>
      </c>
      <c r="AB281" s="59" t="str">
        <f>IFERROR(Inv_SY!P283/Inv_SY!$Z283-1,"")</f>
        <v/>
      </c>
      <c r="AC281" s="59" t="str">
        <f>IFERROR(Inv_SY!Q283/Inv_SY!$Z283-1,"")</f>
        <v/>
      </c>
      <c r="AD281" s="59" t="str">
        <f>IFERROR(Inv_SY!R283/Inv_SY!$Z283-1,"")</f>
        <v/>
      </c>
      <c r="AE281" s="59" t="str">
        <f>IFERROR(Inv_SY!S283/Inv_SY!$Z283-1,"")</f>
        <v/>
      </c>
      <c r="AF281" s="59" t="str">
        <f>IFERROR(Inv_SY!T283/Inv_SY!$Z283-1,"")</f>
        <v/>
      </c>
      <c r="AG281" s="59" t="str">
        <f>IFERROR(Inv_SY!U283/Inv_SY!$Z283-1,"")</f>
        <v/>
      </c>
      <c r="AH281" s="59" t="str">
        <f>IFERROR(Inv_SY!V283/Inv_SY!$Y283-1,"")</f>
        <v/>
      </c>
      <c r="AI281" s="59" t="str">
        <f>IFERROR(Inv_SY!W283/Inv_SY!$Y283-1,"")</f>
        <v/>
      </c>
      <c r="AJ281" s="59" t="str">
        <f>IFERROR(Inv_SY!X283/Inv_SY!$Y283-1,"")</f>
        <v/>
      </c>
      <c r="AK281" s="59" t="str">
        <f>IFERROR(Inv_SY!V283/Inv_SY!$Z283-1,"")</f>
        <v/>
      </c>
      <c r="AL281" s="59" t="str">
        <f>IFERROR(Inv_SY!W283/Inv_SY!$Z283-1,"")</f>
        <v/>
      </c>
      <c r="AM281" s="59" t="str">
        <f>IFERROR(Inv_SY!X283/Inv_SY!$Z283-1,"")</f>
        <v/>
      </c>
    </row>
    <row r="282" spans="1:39" x14ac:dyDescent="0.3">
      <c r="A282" s="234">
        <f>YEAR(Table5[[#This Row],[Date]])+IF(MONTH(Table5[[#This Row],[Date]])&gt;=4,1,0)</f>
        <v>2026</v>
      </c>
      <c r="B282" s="234"/>
      <c r="C282" s="234">
        <f>YEAR(Table5[[#This Row],[Date]])</f>
        <v>2026</v>
      </c>
      <c r="D282" s="234"/>
      <c r="E282" s="234"/>
      <c r="F282" s="235" t="str">
        <f>TEXT(Table5[[#This Row],[Date]],"mmm-yy")</f>
        <v>Jan-26</v>
      </c>
      <c r="G282" s="234">
        <f t="shared" si="11"/>
        <v>31</v>
      </c>
      <c r="H282" s="122">
        <f t="shared" si="12"/>
        <v>46025</v>
      </c>
      <c r="I282" s="55">
        <v>8.02</v>
      </c>
      <c r="J282" s="59" t="str">
        <f>IFERROR(Inv_SY!J284/Inv_SY!$Y284-1,"")</f>
        <v/>
      </c>
      <c r="K282" s="59" t="str">
        <f>IFERROR(Inv_SY!K284/Inv_SY!$Y284-1,"")</f>
        <v/>
      </c>
      <c r="L282" s="59" t="str">
        <f>IFERROR(Inv_SY!L284/Inv_SY!$Y284-1,"")</f>
        <v/>
      </c>
      <c r="M282" s="59" t="str">
        <f>IFERROR(Inv_SY!M284/Inv_SY!$Y284-1,"")</f>
        <v/>
      </c>
      <c r="N282" s="59" t="str">
        <f>IFERROR(Inv_SY!N284/Inv_SY!$Y284-1,"")</f>
        <v/>
      </c>
      <c r="O282" s="59" t="str">
        <f>IFERROR(Inv_SY!O284/Inv_SY!$Y284-1,"")</f>
        <v/>
      </c>
      <c r="P282" s="59" t="str">
        <f>IFERROR(Inv_SY!P284/Inv_SY!$Y284-1,"")</f>
        <v/>
      </c>
      <c r="Q282" s="59" t="str">
        <f>IFERROR(Inv_SY!Q284/Inv_SY!$Y284-1,"")</f>
        <v/>
      </c>
      <c r="R282" s="59" t="str">
        <f>IFERROR(Inv_SY!R284/Inv_SY!$Y284-1,"")</f>
        <v/>
      </c>
      <c r="S282" s="59" t="str">
        <f>IFERROR(Inv_SY!S284/Inv_SY!$Y284-1,"")</f>
        <v/>
      </c>
      <c r="T282" s="59" t="str">
        <f>IFERROR(Inv_SY!T284/Inv_SY!$Y284-1,"")</f>
        <v/>
      </c>
      <c r="U282" s="59" t="str">
        <f>IFERROR(Inv_SY!U284/Inv_SY!$Y284-1,"")</f>
        <v/>
      </c>
      <c r="V282" s="59" t="str">
        <f>IFERROR(Inv_SY!J284/Inv_SY!$Z284-1,"")</f>
        <v/>
      </c>
      <c r="W282" s="59" t="str">
        <f>IFERROR(Inv_SY!K284/Inv_SY!$Z284-1,"")</f>
        <v/>
      </c>
      <c r="X282" s="59" t="str">
        <f>IFERROR(Inv_SY!L284/Inv_SY!$Z284-1,"")</f>
        <v/>
      </c>
      <c r="Y282" s="59" t="str">
        <f>IFERROR(Inv_SY!M284/Inv_SY!$Z284-1,"")</f>
        <v/>
      </c>
      <c r="Z282" s="59" t="str">
        <f>IFERROR(Inv_SY!N284/Inv_SY!$Z284-1,"")</f>
        <v/>
      </c>
      <c r="AA282" s="59" t="str">
        <f>IFERROR(Inv_SY!O284/Inv_SY!$Z284-1,"")</f>
        <v/>
      </c>
      <c r="AB282" s="59" t="str">
        <f>IFERROR(Inv_SY!P284/Inv_SY!$Z284-1,"")</f>
        <v/>
      </c>
      <c r="AC282" s="59" t="str">
        <f>IFERROR(Inv_SY!Q284/Inv_SY!$Z284-1,"")</f>
        <v/>
      </c>
      <c r="AD282" s="59" t="str">
        <f>IFERROR(Inv_SY!R284/Inv_SY!$Z284-1,"")</f>
        <v/>
      </c>
      <c r="AE282" s="59" t="str">
        <f>IFERROR(Inv_SY!S284/Inv_SY!$Z284-1,"")</f>
        <v/>
      </c>
      <c r="AF282" s="59" t="str">
        <f>IFERROR(Inv_SY!T284/Inv_SY!$Z284-1,"")</f>
        <v/>
      </c>
      <c r="AG282" s="59" t="str">
        <f>IFERROR(Inv_SY!U284/Inv_SY!$Z284-1,"")</f>
        <v/>
      </c>
      <c r="AH282" s="59" t="str">
        <f>IFERROR(Inv_SY!V284/Inv_SY!$Y284-1,"")</f>
        <v/>
      </c>
      <c r="AI282" s="59" t="str">
        <f>IFERROR(Inv_SY!W284/Inv_SY!$Y284-1,"")</f>
        <v/>
      </c>
      <c r="AJ282" s="59" t="str">
        <f>IFERROR(Inv_SY!X284/Inv_SY!$Y284-1,"")</f>
        <v/>
      </c>
      <c r="AK282" s="59" t="str">
        <f>IFERROR(Inv_SY!V284/Inv_SY!$Z284-1,"")</f>
        <v/>
      </c>
      <c r="AL282" s="59" t="str">
        <f>IFERROR(Inv_SY!W284/Inv_SY!$Z284-1,"")</f>
        <v/>
      </c>
      <c r="AM282" s="59" t="str">
        <f>IFERROR(Inv_SY!X284/Inv_SY!$Z284-1,"")</f>
        <v/>
      </c>
    </row>
    <row r="283" spans="1:39" x14ac:dyDescent="0.3">
      <c r="A283" s="234">
        <f>YEAR(Table5[[#This Row],[Date]])+IF(MONTH(Table5[[#This Row],[Date]])&gt;=4,1,0)</f>
        <v>2026</v>
      </c>
      <c r="B283" s="234"/>
      <c r="C283" s="234">
        <f>YEAR(Table5[[#This Row],[Date]])</f>
        <v>2026</v>
      </c>
      <c r="D283" s="234"/>
      <c r="E283" s="234"/>
      <c r="F283" s="235" t="str">
        <f>TEXT(Table5[[#This Row],[Date]],"mmm-yy")</f>
        <v>Jan-26</v>
      </c>
      <c r="G283" s="234">
        <f t="shared" si="11"/>
        <v>31</v>
      </c>
      <c r="H283" s="122">
        <f t="shared" si="12"/>
        <v>46026</v>
      </c>
      <c r="I283" s="55">
        <v>8.02</v>
      </c>
      <c r="J283" s="59" t="str">
        <f>IFERROR(Inv_SY!J285/Inv_SY!$Y285-1,"")</f>
        <v/>
      </c>
      <c r="K283" s="59" t="str">
        <f>IFERROR(Inv_SY!K285/Inv_SY!$Y285-1,"")</f>
        <v/>
      </c>
      <c r="L283" s="59" t="str">
        <f>IFERROR(Inv_SY!L285/Inv_SY!$Y285-1,"")</f>
        <v/>
      </c>
      <c r="M283" s="59" t="str">
        <f>IFERROR(Inv_SY!M285/Inv_SY!$Y285-1,"")</f>
        <v/>
      </c>
      <c r="N283" s="59" t="str">
        <f>IFERROR(Inv_SY!N285/Inv_SY!$Y285-1,"")</f>
        <v/>
      </c>
      <c r="O283" s="59" t="str">
        <f>IFERROR(Inv_SY!O285/Inv_SY!$Y285-1,"")</f>
        <v/>
      </c>
      <c r="P283" s="59" t="str">
        <f>IFERROR(Inv_SY!P285/Inv_SY!$Y285-1,"")</f>
        <v/>
      </c>
      <c r="Q283" s="59" t="str">
        <f>IFERROR(Inv_SY!Q285/Inv_SY!$Y285-1,"")</f>
        <v/>
      </c>
      <c r="R283" s="59" t="str">
        <f>IFERROR(Inv_SY!R285/Inv_SY!$Y285-1,"")</f>
        <v/>
      </c>
      <c r="S283" s="59" t="str">
        <f>IFERROR(Inv_SY!S285/Inv_SY!$Y285-1,"")</f>
        <v/>
      </c>
      <c r="T283" s="59" t="str">
        <f>IFERROR(Inv_SY!T285/Inv_SY!$Y285-1,"")</f>
        <v/>
      </c>
      <c r="U283" s="59" t="str">
        <f>IFERROR(Inv_SY!U285/Inv_SY!$Y285-1,"")</f>
        <v/>
      </c>
      <c r="V283" s="59" t="str">
        <f>IFERROR(Inv_SY!J285/Inv_SY!$Z285-1,"")</f>
        <v/>
      </c>
      <c r="W283" s="59" t="str">
        <f>IFERROR(Inv_SY!K285/Inv_SY!$Z285-1,"")</f>
        <v/>
      </c>
      <c r="X283" s="59" t="str">
        <f>IFERROR(Inv_SY!L285/Inv_SY!$Z285-1,"")</f>
        <v/>
      </c>
      <c r="Y283" s="59" t="str">
        <f>IFERROR(Inv_SY!M285/Inv_SY!$Z285-1,"")</f>
        <v/>
      </c>
      <c r="Z283" s="59" t="str">
        <f>IFERROR(Inv_SY!N285/Inv_SY!$Z285-1,"")</f>
        <v/>
      </c>
      <c r="AA283" s="59" t="str">
        <f>IFERROR(Inv_SY!O285/Inv_SY!$Z285-1,"")</f>
        <v/>
      </c>
      <c r="AB283" s="59" t="str">
        <f>IFERROR(Inv_SY!P285/Inv_SY!$Z285-1,"")</f>
        <v/>
      </c>
      <c r="AC283" s="59" t="str">
        <f>IFERROR(Inv_SY!Q285/Inv_SY!$Z285-1,"")</f>
        <v/>
      </c>
      <c r="AD283" s="59" t="str">
        <f>IFERROR(Inv_SY!R285/Inv_SY!$Z285-1,"")</f>
        <v/>
      </c>
      <c r="AE283" s="59" t="str">
        <f>IFERROR(Inv_SY!S285/Inv_SY!$Z285-1,"")</f>
        <v/>
      </c>
      <c r="AF283" s="59" t="str">
        <f>IFERROR(Inv_SY!T285/Inv_SY!$Z285-1,"")</f>
        <v/>
      </c>
      <c r="AG283" s="59" t="str">
        <f>IFERROR(Inv_SY!U285/Inv_SY!$Z285-1,"")</f>
        <v/>
      </c>
      <c r="AH283" s="59" t="str">
        <f>IFERROR(Inv_SY!V285/Inv_SY!$Y285-1,"")</f>
        <v/>
      </c>
      <c r="AI283" s="59" t="str">
        <f>IFERROR(Inv_SY!W285/Inv_SY!$Y285-1,"")</f>
        <v/>
      </c>
      <c r="AJ283" s="59" t="str">
        <f>IFERROR(Inv_SY!X285/Inv_SY!$Y285-1,"")</f>
        <v/>
      </c>
      <c r="AK283" s="59" t="str">
        <f>IFERROR(Inv_SY!V285/Inv_SY!$Z285-1,"")</f>
        <v/>
      </c>
      <c r="AL283" s="59" t="str">
        <f>IFERROR(Inv_SY!W285/Inv_SY!$Z285-1,"")</f>
        <v/>
      </c>
      <c r="AM283" s="59" t="str">
        <f>IFERROR(Inv_SY!X285/Inv_SY!$Z285-1,"")</f>
        <v/>
      </c>
    </row>
    <row r="284" spans="1:39" x14ac:dyDescent="0.3">
      <c r="A284" s="234">
        <f>YEAR(Table5[[#This Row],[Date]])+IF(MONTH(Table5[[#This Row],[Date]])&gt;=4,1,0)</f>
        <v>2026</v>
      </c>
      <c r="B284" s="234"/>
      <c r="C284" s="234">
        <f>YEAR(Table5[[#This Row],[Date]])</f>
        <v>2026</v>
      </c>
      <c r="D284" s="234"/>
      <c r="E284" s="234"/>
      <c r="F284" s="235" t="str">
        <f>TEXT(Table5[[#This Row],[Date]],"mmm-yy")</f>
        <v>Jan-26</v>
      </c>
      <c r="G284" s="234">
        <f t="shared" si="11"/>
        <v>31</v>
      </c>
      <c r="H284" s="122">
        <f t="shared" si="12"/>
        <v>46027</v>
      </c>
      <c r="I284" s="55">
        <v>8.02</v>
      </c>
      <c r="J284" s="59" t="str">
        <f>IFERROR(Inv_SY!J286/Inv_SY!$Y286-1,"")</f>
        <v/>
      </c>
      <c r="K284" s="59" t="str">
        <f>IFERROR(Inv_SY!K286/Inv_SY!$Y286-1,"")</f>
        <v/>
      </c>
      <c r="L284" s="59" t="str">
        <f>IFERROR(Inv_SY!L286/Inv_SY!$Y286-1,"")</f>
        <v/>
      </c>
      <c r="M284" s="59" t="str">
        <f>IFERROR(Inv_SY!M286/Inv_SY!$Y286-1,"")</f>
        <v/>
      </c>
      <c r="N284" s="59" t="str">
        <f>IFERROR(Inv_SY!N286/Inv_SY!$Y286-1,"")</f>
        <v/>
      </c>
      <c r="O284" s="59" t="str">
        <f>IFERROR(Inv_SY!O286/Inv_SY!$Y286-1,"")</f>
        <v/>
      </c>
      <c r="P284" s="59" t="str">
        <f>IFERROR(Inv_SY!P286/Inv_SY!$Y286-1,"")</f>
        <v/>
      </c>
      <c r="Q284" s="59" t="str">
        <f>IFERROR(Inv_SY!Q286/Inv_SY!$Y286-1,"")</f>
        <v/>
      </c>
      <c r="R284" s="59" t="str">
        <f>IFERROR(Inv_SY!R286/Inv_SY!$Y286-1,"")</f>
        <v/>
      </c>
      <c r="S284" s="59" t="str">
        <f>IFERROR(Inv_SY!S286/Inv_SY!$Y286-1,"")</f>
        <v/>
      </c>
      <c r="T284" s="59" t="str">
        <f>IFERROR(Inv_SY!T286/Inv_SY!$Y286-1,"")</f>
        <v/>
      </c>
      <c r="U284" s="59" t="str">
        <f>IFERROR(Inv_SY!U286/Inv_SY!$Y286-1,"")</f>
        <v/>
      </c>
      <c r="V284" s="59" t="str">
        <f>IFERROR(Inv_SY!J286/Inv_SY!$Z286-1,"")</f>
        <v/>
      </c>
      <c r="W284" s="59" t="str">
        <f>IFERROR(Inv_SY!K286/Inv_SY!$Z286-1,"")</f>
        <v/>
      </c>
      <c r="X284" s="59" t="str">
        <f>IFERROR(Inv_SY!L286/Inv_SY!$Z286-1,"")</f>
        <v/>
      </c>
      <c r="Y284" s="59" t="str">
        <f>IFERROR(Inv_SY!M286/Inv_SY!$Z286-1,"")</f>
        <v/>
      </c>
      <c r="Z284" s="59" t="str">
        <f>IFERROR(Inv_SY!N286/Inv_SY!$Z286-1,"")</f>
        <v/>
      </c>
      <c r="AA284" s="59" t="str">
        <f>IFERROR(Inv_SY!O286/Inv_SY!$Z286-1,"")</f>
        <v/>
      </c>
      <c r="AB284" s="59" t="str">
        <f>IFERROR(Inv_SY!P286/Inv_SY!$Z286-1,"")</f>
        <v/>
      </c>
      <c r="AC284" s="59" t="str">
        <f>IFERROR(Inv_SY!Q286/Inv_SY!$Z286-1,"")</f>
        <v/>
      </c>
      <c r="AD284" s="59" t="str">
        <f>IFERROR(Inv_SY!R286/Inv_SY!$Z286-1,"")</f>
        <v/>
      </c>
      <c r="AE284" s="59" t="str">
        <f>IFERROR(Inv_SY!S286/Inv_SY!$Z286-1,"")</f>
        <v/>
      </c>
      <c r="AF284" s="59" t="str">
        <f>IFERROR(Inv_SY!T286/Inv_SY!$Z286-1,"")</f>
        <v/>
      </c>
      <c r="AG284" s="59" t="str">
        <f>IFERROR(Inv_SY!U286/Inv_SY!$Z286-1,"")</f>
        <v/>
      </c>
      <c r="AH284" s="59" t="str">
        <f>IFERROR(Inv_SY!V286/Inv_SY!$Y286-1,"")</f>
        <v/>
      </c>
      <c r="AI284" s="59" t="str">
        <f>IFERROR(Inv_SY!W286/Inv_SY!$Y286-1,"")</f>
        <v/>
      </c>
      <c r="AJ284" s="59" t="str">
        <f>IFERROR(Inv_SY!X286/Inv_SY!$Y286-1,"")</f>
        <v/>
      </c>
      <c r="AK284" s="59" t="str">
        <f>IFERROR(Inv_SY!V286/Inv_SY!$Z286-1,"")</f>
        <v/>
      </c>
      <c r="AL284" s="59" t="str">
        <f>IFERROR(Inv_SY!W286/Inv_SY!$Z286-1,"")</f>
        <v/>
      </c>
      <c r="AM284" s="59" t="str">
        <f>IFERROR(Inv_SY!X286/Inv_SY!$Z286-1,"")</f>
        <v/>
      </c>
    </row>
    <row r="285" spans="1:39" x14ac:dyDescent="0.3">
      <c r="A285" s="234">
        <f>YEAR(Table5[[#This Row],[Date]])+IF(MONTH(Table5[[#This Row],[Date]])&gt;=4,1,0)</f>
        <v>2026</v>
      </c>
      <c r="B285" s="234"/>
      <c r="C285" s="234">
        <f>YEAR(Table5[[#This Row],[Date]])</f>
        <v>2026</v>
      </c>
      <c r="D285" s="234"/>
      <c r="E285" s="234"/>
      <c r="F285" s="235" t="str">
        <f>TEXT(Table5[[#This Row],[Date]],"mmm-yy")</f>
        <v>Jan-26</v>
      </c>
      <c r="G285" s="234">
        <f t="shared" si="11"/>
        <v>31</v>
      </c>
      <c r="H285" s="122">
        <f t="shared" si="12"/>
        <v>46028</v>
      </c>
      <c r="I285" s="55">
        <v>8.02</v>
      </c>
      <c r="J285" s="59" t="str">
        <f>IFERROR(Inv_SY!J287/Inv_SY!$Y287-1,"")</f>
        <v/>
      </c>
      <c r="K285" s="59" t="str">
        <f>IFERROR(Inv_SY!K287/Inv_SY!$Y287-1,"")</f>
        <v/>
      </c>
      <c r="L285" s="59" t="str">
        <f>IFERROR(Inv_SY!L287/Inv_SY!$Y287-1,"")</f>
        <v/>
      </c>
      <c r="M285" s="59" t="str">
        <f>IFERROR(Inv_SY!M287/Inv_SY!$Y287-1,"")</f>
        <v/>
      </c>
      <c r="N285" s="59" t="str">
        <f>IFERROR(Inv_SY!N287/Inv_SY!$Y287-1,"")</f>
        <v/>
      </c>
      <c r="O285" s="59" t="str">
        <f>IFERROR(Inv_SY!O287/Inv_SY!$Y287-1,"")</f>
        <v/>
      </c>
      <c r="P285" s="59" t="str">
        <f>IFERROR(Inv_SY!P287/Inv_SY!$Y287-1,"")</f>
        <v/>
      </c>
      <c r="Q285" s="59" t="str">
        <f>IFERROR(Inv_SY!Q287/Inv_SY!$Y287-1,"")</f>
        <v/>
      </c>
      <c r="R285" s="59" t="str">
        <f>IFERROR(Inv_SY!R287/Inv_SY!$Y287-1,"")</f>
        <v/>
      </c>
      <c r="S285" s="59" t="str">
        <f>IFERROR(Inv_SY!S287/Inv_SY!$Y287-1,"")</f>
        <v/>
      </c>
      <c r="T285" s="59" t="str">
        <f>IFERROR(Inv_SY!T287/Inv_SY!$Y287-1,"")</f>
        <v/>
      </c>
      <c r="U285" s="59" t="str">
        <f>IFERROR(Inv_SY!U287/Inv_SY!$Y287-1,"")</f>
        <v/>
      </c>
      <c r="V285" s="59" t="str">
        <f>IFERROR(Inv_SY!J287/Inv_SY!$Z287-1,"")</f>
        <v/>
      </c>
      <c r="W285" s="59" t="str">
        <f>IFERROR(Inv_SY!K287/Inv_SY!$Z287-1,"")</f>
        <v/>
      </c>
      <c r="X285" s="59" t="str">
        <f>IFERROR(Inv_SY!L287/Inv_SY!$Z287-1,"")</f>
        <v/>
      </c>
      <c r="Y285" s="59" t="str">
        <f>IFERROR(Inv_SY!M287/Inv_SY!$Z287-1,"")</f>
        <v/>
      </c>
      <c r="Z285" s="59" t="str">
        <f>IFERROR(Inv_SY!N287/Inv_SY!$Z287-1,"")</f>
        <v/>
      </c>
      <c r="AA285" s="59" t="str">
        <f>IFERROR(Inv_SY!O287/Inv_SY!$Z287-1,"")</f>
        <v/>
      </c>
      <c r="AB285" s="59" t="str">
        <f>IFERROR(Inv_SY!P287/Inv_SY!$Z287-1,"")</f>
        <v/>
      </c>
      <c r="AC285" s="59" t="str">
        <f>IFERROR(Inv_SY!Q287/Inv_SY!$Z287-1,"")</f>
        <v/>
      </c>
      <c r="AD285" s="59" t="str">
        <f>IFERROR(Inv_SY!R287/Inv_SY!$Z287-1,"")</f>
        <v/>
      </c>
      <c r="AE285" s="59" t="str">
        <f>IFERROR(Inv_SY!S287/Inv_SY!$Z287-1,"")</f>
        <v/>
      </c>
      <c r="AF285" s="59" t="str">
        <f>IFERROR(Inv_SY!T287/Inv_SY!$Z287-1,"")</f>
        <v/>
      </c>
      <c r="AG285" s="59" t="str">
        <f>IFERROR(Inv_SY!U287/Inv_SY!$Z287-1,"")</f>
        <v/>
      </c>
      <c r="AH285" s="59" t="str">
        <f>IFERROR(Inv_SY!V287/Inv_SY!$Y287-1,"")</f>
        <v/>
      </c>
      <c r="AI285" s="59" t="str">
        <f>IFERROR(Inv_SY!W287/Inv_SY!$Y287-1,"")</f>
        <v/>
      </c>
      <c r="AJ285" s="59" t="str">
        <f>IFERROR(Inv_SY!X287/Inv_SY!$Y287-1,"")</f>
        <v/>
      </c>
      <c r="AK285" s="59" t="str">
        <f>IFERROR(Inv_SY!V287/Inv_SY!$Z287-1,"")</f>
        <v/>
      </c>
      <c r="AL285" s="59" t="str">
        <f>IFERROR(Inv_SY!W287/Inv_SY!$Z287-1,"")</f>
        <v/>
      </c>
      <c r="AM285" s="59" t="str">
        <f>IFERROR(Inv_SY!X287/Inv_SY!$Z287-1,"")</f>
        <v/>
      </c>
    </row>
    <row r="286" spans="1:39" x14ac:dyDescent="0.3">
      <c r="A286" s="234">
        <f>YEAR(Table5[[#This Row],[Date]])+IF(MONTH(Table5[[#This Row],[Date]])&gt;=4,1,0)</f>
        <v>2026</v>
      </c>
      <c r="B286" s="234"/>
      <c r="C286" s="234">
        <f>YEAR(Table5[[#This Row],[Date]])</f>
        <v>2026</v>
      </c>
      <c r="D286" s="234"/>
      <c r="E286" s="234"/>
      <c r="F286" s="235" t="str">
        <f>TEXT(Table5[[#This Row],[Date]],"mmm-yy")</f>
        <v>Jan-26</v>
      </c>
      <c r="G286" s="234">
        <f t="shared" si="11"/>
        <v>31</v>
      </c>
      <c r="H286" s="122">
        <f t="shared" si="12"/>
        <v>46029</v>
      </c>
      <c r="I286" s="55">
        <v>8.02</v>
      </c>
      <c r="J286" s="59" t="str">
        <f>IFERROR(Inv_SY!J288/Inv_SY!$Y288-1,"")</f>
        <v/>
      </c>
      <c r="K286" s="59" t="str">
        <f>IFERROR(Inv_SY!K288/Inv_SY!$Y288-1,"")</f>
        <v/>
      </c>
      <c r="L286" s="59" t="str">
        <f>IFERROR(Inv_SY!L288/Inv_SY!$Y288-1,"")</f>
        <v/>
      </c>
      <c r="M286" s="59" t="str">
        <f>IFERROR(Inv_SY!M288/Inv_SY!$Y288-1,"")</f>
        <v/>
      </c>
      <c r="N286" s="59" t="str">
        <f>IFERROR(Inv_SY!N288/Inv_SY!$Y288-1,"")</f>
        <v/>
      </c>
      <c r="O286" s="59" t="str">
        <f>IFERROR(Inv_SY!O288/Inv_SY!$Y288-1,"")</f>
        <v/>
      </c>
      <c r="P286" s="59" t="str">
        <f>IFERROR(Inv_SY!P288/Inv_SY!$Y288-1,"")</f>
        <v/>
      </c>
      <c r="Q286" s="59" t="str">
        <f>IFERROR(Inv_SY!Q288/Inv_SY!$Y288-1,"")</f>
        <v/>
      </c>
      <c r="R286" s="59" t="str">
        <f>IFERROR(Inv_SY!R288/Inv_SY!$Y288-1,"")</f>
        <v/>
      </c>
      <c r="S286" s="59" t="str">
        <f>IFERROR(Inv_SY!S288/Inv_SY!$Y288-1,"")</f>
        <v/>
      </c>
      <c r="T286" s="59" t="str">
        <f>IFERROR(Inv_SY!T288/Inv_SY!$Y288-1,"")</f>
        <v/>
      </c>
      <c r="U286" s="59" t="str">
        <f>IFERROR(Inv_SY!U288/Inv_SY!$Y288-1,"")</f>
        <v/>
      </c>
      <c r="V286" s="59" t="str">
        <f>IFERROR(Inv_SY!J288/Inv_SY!$Z288-1,"")</f>
        <v/>
      </c>
      <c r="W286" s="59" t="str">
        <f>IFERROR(Inv_SY!K288/Inv_SY!$Z288-1,"")</f>
        <v/>
      </c>
      <c r="X286" s="59" t="str">
        <f>IFERROR(Inv_SY!L288/Inv_SY!$Z288-1,"")</f>
        <v/>
      </c>
      <c r="Y286" s="59" t="str">
        <f>IFERROR(Inv_SY!M288/Inv_SY!$Z288-1,"")</f>
        <v/>
      </c>
      <c r="Z286" s="59" t="str">
        <f>IFERROR(Inv_SY!N288/Inv_SY!$Z288-1,"")</f>
        <v/>
      </c>
      <c r="AA286" s="59" t="str">
        <f>IFERROR(Inv_SY!O288/Inv_SY!$Z288-1,"")</f>
        <v/>
      </c>
      <c r="AB286" s="59" t="str">
        <f>IFERROR(Inv_SY!P288/Inv_SY!$Z288-1,"")</f>
        <v/>
      </c>
      <c r="AC286" s="59" t="str">
        <f>IFERROR(Inv_SY!Q288/Inv_SY!$Z288-1,"")</f>
        <v/>
      </c>
      <c r="AD286" s="59" t="str">
        <f>IFERROR(Inv_SY!R288/Inv_SY!$Z288-1,"")</f>
        <v/>
      </c>
      <c r="AE286" s="59" t="str">
        <f>IFERROR(Inv_SY!S288/Inv_SY!$Z288-1,"")</f>
        <v/>
      </c>
      <c r="AF286" s="59" t="str">
        <f>IFERROR(Inv_SY!T288/Inv_SY!$Z288-1,"")</f>
        <v/>
      </c>
      <c r="AG286" s="59" t="str">
        <f>IFERROR(Inv_SY!U288/Inv_SY!$Z288-1,"")</f>
        <v/>
      </c>
      <c r="AH286" s="59" t="str">
        <f>IFERROR(Inv_SY!V288/Inv_SY!$Y288-1,"")</f>
        <v/>
      </c>
      <c r="AI286" s="59" t="str">
        <f>IFERROR(Inv_SY!W288/Inv_SY!$Y288-1,"")</f>
        <v/>
      </c>
      <c r="AJ286" s="59" t="str">
        <f>IFERROR(Inv_SY!X288/Inv_SY!$Y288-1,"")</f>
        <v/>
      </c>
      <c r="AK286" s="59" t="str">
        <f>IFERROR(Inv_SY!V288/Inv_SY!$Z288-1,"")</f>
        <v/>
      </c>
      <c r="AL286" s="59" t="str">
        <f>IFERROR(Inv_SY!W288/Inv_SY!$Z288-1,"")</f>
        <v/>
      </c>
      <c r="AM286" s="59" t="str">
        <f>IFERROR(Inv_SY!X288/Inv_SY!$Z288-1,"")</f>
        <v/>
      </c>
    </row>
    <row r="287" spans="1:39" x14ac:dyDescent="0.3">
      <c r="A287" s="234">
        <f>YEAR(Table5[[#This Row],[Date]])+IF(MONTH(Table5[[#This Row],[Date]])&gt;=4,1,0)</f>
        <v>2026</v>
      </c>
      <c r="B287" s="234"/>
      <c r="C287" s="234">
        <f>YEAR(Table5[[#This Row],[Date]])</f>
        <v>2026</v>
      </c>
      <c r="D287" s="234"/>
      <c r="E287" s="234"/>
      <c r="F287" s="235" t="str">
        <f>TEXT(Table5[[#This Row],[Date]],"mmm-yy")</f>
        <v>Jan-26</v>
      </c>
      <c r="G287" s="234">
        <f t="shared" si="11"/>
        <v>31</v>
      </c>
      <c r="H287" s="122">
        <f t="shared" si="12"/>
        <v>46030</v>
      </c>
      <c r="I287" s="55">
        <v>8.02</v>
      </c>
      <c r="J287" s="59" t="str">
        <f>IFERROR(Inv_SY!J289/Inv_SY!$Y289-1,"")</f>
        <v/>
      </c>
      <c r="K287" s="59" t="str">
        <f>IFERROR(Inv_SY!K289/Inv_SY!$Y289-1,"")</f>
        <v/>
      </c>
      <c r="L287" s="59" t="str">
        <f>IFERROR(Inv_SY!L289/Inv_SY!$Y289-1,"")</f>
        <v/>
      </c>
      <c r="M287" s="59" t="str">
        <f>IFERROR(Inv_SY!M289/Inv_SY!$Y289-1,"")</f>
        <v/>
      </c>
      <c r="N287" s="59" t="str">
        <f>IFERROR(Inv_SY!N289/Inv_SY!$Y289-1,"")</f>
        <v/>
      </c>
      <c r="O287" s="59" t="str">
        <f>IFERROR(Inv_SY!O289/Inv_SY!$Y289-1,"")</f>
        <v/>
      </c>
      <c r="P287" s="59" t="str">
        <f>IFERROR(Inv_SY!P289/Inv_SY!$Y289-1,"")</f>
        <v/>
      </c>
      <c r="Q287" s="59" t="str">
        <f>IFERROR(Inv_SY!Q289/Inv_SY!$Y289-1,"")</f>
        <v/>
      </c>
      <c r="R287" s="59" t="str">
        <f>IFERROR(Inv_SY!R289/Inv_SY!$Y289-1,"")</f>
        <v/>
      </c>
      <c r="S287" s="59" t="str">
        <f>IFERROR(Inv_SY!S289/Inv_SY!$Y289-1,"")</f>
        <v/>
      </c>
      <c r="T287" s="59" t="str">
        <f>IFERROR(Inv_SY!T289/Inv_SY!$Y289-1,"")</f>
        <v/>
      </c>
      <c r="U287" s="59" t="str">
        <f>IFERROR(Inv_SY!U289/Inv_SY!$Y289-1,"")</f>
        <v/>
      </c>
      <c r="V287" s="59" t="str">
        <f>IFERROR(Inv_SY!J289/Inv_SY!$Z289-1,"")</f>
        <v/>
      </c>
      <c r="W287" s="59" t="str">
        <f>IFERROR(Inv_SY!K289/Inv_SY!$Z289-1,"")</f>
        <v/>
      </c>
      <c r="X287" s="59" t="str">
        <f>IFERROR(Inv_SY!L289/Inv_SY!$Z289-1,"")</f>
        <v/>
      </c>
      <c r="Y287" s="59" t="str">
        <f>IFERROR(Inv_SY!M289/Inv_SY!$Z289-1,"")</f>
        <v/>
      </c>
      <c r="Z287" s="59" t="str">
        <f>IFERROR(Inv_SY!N289/Inv_SY!$Z289-1,"")</f>
        <v/>
      </c>
      <c r="AA287" s="59" t="str">
        <f>IFERROR(Inv_SY!O289/Inv_SY!$Z289-1,"")</f>
        <v/>
      </c>
      <c r="AB287" s="59" t="str">
        <f>IFERROR(Inv_SY!P289/Inv_SY!$Z289-1,"")</f>
        <v/>
      </c>
      <c r="AC287" s="59" t="str">
        <f>IFERROR(Inv_SY!Q289/Inv_SY!$Z289-1,"")</f>
        <v/>
      </c>
      <c r="AD287" s="59" t="str">
        <f>IFERROR(Inv_SY!R289/Inv_SY!$Z289-1,"")</f>
        <v/>
      </c>
      <c r="AE287" s="59" t="str">
        <f>IFERROR(Inv_SY!S289/Inv_SY!$Z289-1,"")</f>
        <v/>
      </c>
      <c r="AF287" s="59" t="str">
        <f>IFERROR(Inv_SY!T289/Inv_SY!$Z289-1,"")</f>
        <v/>
      </c>
      <c r="AG287" s="59" t="str">
        <f>IFERROR(Inv_SY!U289/Inv_SY!$Z289-1,"")</f>
        <v/>
      </c>
      <c r="AH287" s="59" t="str">
        <f>IFERROR(Inv_SY!V289/Inv_SY!$Y289-1,"")</f>
        <v/>
      </c>
      <c r="AI287" s="59" t="str">
        <f>IFERROR(Inv_SY!W289/Inv_SY!$Y289-1,"")</f>
        <v/>
      </c>
      <c r="AJ287" s="59" t="str">
        <f>IFERROR(Inv_SY!X289/Inv_SY!$Y289-1,"")</f>
        <v/>
      </c>
      <c r="AK287" s="59" t="str">
        <f>IFERROR(Inv_SY!V289/Inv_SY!$Z289-1,"")</f>
        <v/>
      </c>
      <c r="AL287" s="59" t="str">
        <f>IFERROR(Inv_SY!W289/Inv_SY!$Z289-1,"")</f>
        <v/>
      </c>
      <c r="AM287" s="59" t="str">
        <f>IFERROR(Inv_SY!X289/Inv_SY!$Z289-1,"")</f>
        <v/>
      </c>
    </row>
    <row r="288" spans="1:39" x14ac:dyDescent="0.3">
      <c r="A288" s="234">
        <f>YEAR(Table5[[#This Row],[Date]])+IF(MONTH(Table5[[#This Row],[Date]])&gt;=4,1,0)</f>
        <v>2026</v>
      </c>
      <c r="B288" s="234"/>
      <c r="C288" s="234">
        <f>YEAR(Table5[[#This Row],[Date]])</f>
        <v>2026</v>
      </c>
      <c r="D288" s="234"/>
      <c r="E288" s="234"/>
      <c r="F288" s="235" t="str">
        <f>TEXT(Table5[[#This Row],[Date]],"mmm-yy")</f>
        <v>Jan-26</v>
      </c>
      <c r="G288" s="234">
        <f t="shared" si="11"/>
        <v>31</v>
      </c>
      <c r="H288" s="122">
        <f t="shared" si="12"/>
        <v>46031</v>
      </c>
      <c r="I288" s="55">
        <v>8.02</v>
      </c>
      <c r="J288" s="59" t="str">
        <f>IFERROR(Inv_SY!J290/Inv_SY!$Y290-1,"")</f>
        <v/>
      </c>
      <c r="K288" s="59" t="str">
        <f>IFERROR(Inv_SY!K290/Inv_SY!$Y290-1,"")</f>
        <v/>
      </c>
      <c r="L288" s="59" t="str">
        <f>IFERROR(Inv_SY!L290/Inv_SY!$Y290-1,"")</f>
        <v/>
      </c>
      <c r="M288" s="59" t="str">
        <f>IFERROR(Inv_SY!M290/Inv_SY!$Y290-1,"")</f>
        <v/>
      </c>
      <c r="N288" s="59" t="str">
        <f>IFERROR(Inv_SY!N290/Inv_SY!$Y290-1,"")</f>
        <v/>
      </c>
      <c r="O288" s="59" t="str">
        <f>IFERROR(Inv_SY!O290/Inv_SY!$Y290-1,"")</f>
        <v/>
      </c>
      <c r="P288" s="59" t="str">
        <f>IFERROR(Inv_SY!P290/Inv_SY!$Y290-1,"")</f>
        <v/>
      </c>
      <c r="Q288" s="59" t="str">
        <f>IFERROR(Inv_SY!Q290/Inv_SY!$Y290-1,"")</f>
        <v/>
      </c>
      <c r="R288" s="59" t="str">
        <f>IFERROR(Inv_SY!R290/Inv_SY!$Y290-1,"")</f>
        <v/>
      </c>
      <c r="S288" s="59" t="str">
        <f>IFERROR(Inv_SY!S290/Inv_SY!$Y290-1,"")</f>
        <v/>
      </c>
      <c r="T288" s="59" t="str">
        <f>IFERROR(Inv_SY!T290/Inv_SY!$Y290-1,"")</f>
        <v/>
      </c>
      <c r="U288" s="59" t="str">
        <f>IFERROR(Inv_SY!U290/Inv_SY!$Y290-1,"")</f>
        <v/>
      </c>
      <c r="V288" s="59" t="str">
        <f>IFERROR(Inv_SY!J290/Inv_SY!$Z290-1,"")</f>
        <v/>
      </c>
      <c r="W288" s="59" t="str">
        <f>IFERROR(Inv_SY!K290/Inv_SY!$Z290-1,"")</f>
        <v/>
      </c>
      <c r="X288" s="59" t="str">
        <f>IFERROR(Inv_SY!L290/Inv_SY!$Z290-1,"")</f>
        <v/>
      </c>
      <c r="Y288" s="59" t="str">
        <f>IFERROR(Inv_SY!M290/Inv_SY!$Z290-1,"")</f>
        <v/>
      </c>
      <c r="Z288" s="59" t="str">
        <f>IFERROR(Inv_SY!N290/Inv_SY!$Z290-1,"")</f>
        <v/>
      </c>
      <c r="AA288" s="59" t="str">
        <f>IFERROR(Inv_SY!O290/Inv_SY!$Z290-1,"")</f>
        <v/>
      </c>
      <c r="AB288" s="59" t="str">
        <f>IFERROR(Inv_SY!P290/Inv_SY!$Z290-1,"")</f>
        <v/>
      </c>
      <c r="AC288" s="59" t="str">
        <f>IFERROR(Inv_SY!Q290/Inv_SY!$Z290-1,"")</f>
        <v/>
      </c>
      <c r="AD288" s="59" t="str">
        <f>IFERROR(Inv_SY!R290/Inv_SY!$Z290-1,"")</f>
        <v/>
      </c>
      <c r="AE288" s="59" t="str">
        <f>IFERROR(Inv_SY!S290/Inv_SY!$Z290-1,"")</f>
        <v/>
      </c>
      <c r="AF288" s="59" t="str">
        <f>IFERROR(Inv_SY!T290/Inv_SY!$Z290-1,"")</f>
        <v/>
      </c>
      <c r="AG288" s="59" t="str">
        <f>IFERROR(Inv_SY!U290/Inv_SY!$Z290-1,"")</f>
        <v/>
      </c>
      <c r="AH288" s="59" t="str">
        <f>IFERROR(Inv_SY!V290/Inv_SY!$Y290-1,"")</f>
        <v/>
      </c>
      <c r="AI288" s="59" t="str">
        <f>IFERROR(Inv_SY!W290/Inv_SY!$Y290-1,"")</f>
        <v/>
      </c>
      <c r="AJ288" s="59" t="str">
        <f>IFERROR(Inv_SY!X290/Inv_SY!$Y290-1,"")</f>
        <v/>
      </c>
      <c r="AK288" s="59" t="str">
        <f>IFERROR(Inv_SY!V290/Inv_SY!$Z290-1,"")</f>
        <v/>
      </c>
      <c r="AL288" s="59" t="str">
        <f>IFERROR(Inv_SY!W290/Inv_SY!$Z290-1,"")</f>
        <v/>
      </c>
      <c r="AM288" s="59" t="str">
        <f>IFERROR(Inv_SY!X290/Inv_SY!$Z290-1,"")</f>
        <v/>
      </c>
    </row>
    <row r="289" spans="1:39" x14ac:dyDescent="0.3">
      <c r="A289" s="234">
        <f>YEAR(Table5[[#This Row],[Date]])+IF(MONTH(Table5[[#This Row],[Date]])&gt;=4,1,0)</f>
        <v>2026</v>
      </c>
      <c r="B289" s="234"/>
      <c r="C289" s="234">
        <f>YEAR(Table5[[#This Row],[Date]])</f>
        <v>2026</v>
      </c>
      <c r="D289" s="234"/>
      <c r="E289" s="234"/>
      <c r="F289" s="235" t="str">
        <f>TEXT(Table5[[#This Row],[Date]],"mmm-yy")</f>
        <v>Jan-26</v>
      </c>
      <c r="G289" s="234">
        <f t="shared" si="11"/>
        <v>31</v>
      </c>
      <c r="H289" s="122">
        <f t="shared" si="12"/>
        <v>46032</v>
      </c>
      <c r="I289" s="55">
        <v>8.02</v>
      </c>
      <c r="J289" s="59" t="str">
        <f>IFERROR(Inv_SY!J291/Inv_SY!$Y291-1,"")</f>
        <v/>
      </c>
      <c r="K289" s="59" t="str">
        <f>IFERROR(Inv_SY!K291/Inv_SY!$Y291-1,"")</f>
        <v/>
      </c>
      <c r="L289" s="59" t="str">
        <f>IFERROR(Inv_SY!L291/Inv_SY!$Y291-1,"")</f>
        <v/>
      </c>
      <c r="M289" s="59" t="str">
        <f>IFERROR(Inv_SY!M291/Inv_SY!$Y291-1,"")</f>
        <v/>
      </c>
      <c r="N289" s="59" t="str">
        <f>IFERROR(Inv_SY!N291/Inv_SY!$Y291-1,"")</f>
        <v/>
      </c>
      <c r="O289" s="59" t="str">
        <f>IFERROR(Inv_SY!O291/Inv_SY!$Y291-1,"")</f>
        <v/>
      </c>
      <c r="P289" s="59" t="str">
        <f>IFERROR(Inv_SY!P291/Inv_SY!$Y291-1,"")</f>
        <v/>
      </c>
      <c r="Q289" s="59" t="str">
        <f>IFERROR(Inv_SY!Q291/Inv_SY!$Y291-1,"")</f>
        <v/>
      </c>
      <c r="R289" s="59" t="str">
        <f>IFERROR(Inv_SY!R291/Inv_SY!$Y291-1,"")</f>
        <v/>
      </c>
      <c r="S289" s="59" t="str">
        <f>IFERROR(Inv_SY!S291/Inv_SY!$Y291-1,"")</f>
        <v/>
      </c>
      <c r="T289" s="59" t="str">
        <f>IFERROR(Inv_SY!T291/Inv_SY!$Y291-1,"")</f>
        <v/>
      </c>
      <c r="U289" s="59" t="str">
        <f>IFERROR(Inv_SY!U291/Inv_SY!$Y291-1,"")</f>
        <v/>
      </c>
      <c r="V289" s="59" t="str">
        <f>IFERROR(Inv_SY!J291/Inv_SY!$Z291-1,"")</f>
        <v/>
      </c>
      <c r="W289" s="59" t="str">
        <f>IFERROR(Inv_SY!K291/Inv_SY!$Z291-1,"")</f>
        <v/>
      </c>
      <c r="X289" s="59" t="str">
        <f>IFERROR(Inv_SY!L291/Inv_SY!$Z291-1,"")</f>
        <v/>
      </c>
      <c r="Y289" s="59" t="str">
        <f>IFERROR(Inv_SY!M291/Inv_SY!$Z291-1,"")</f>
        <v/>
      </c>
      <c r="Z289" s="59" t="str">
        <f>IFERROR(Inv_SY!N291/Inv_SY!$Z291-1,"")</f>
        <v/>
      </c>
      <c r="AA289" s="59" t="str">
        <f>IFERROR(Inv_SY!O291/Inv_SY!$Z291-1,"")</f>
        <v/>
      </c>
      <c r="AB289" s="59" t="str">
        <f>IFERROR(Inv_SY!P291/Inv_SY!$Z291-1,"")</f>
        <v/>
      </c>
      <c r="AC289" s="59" t="str">
        <f>IFERROR(Inv_SY!Q291/Inv_SY!$Z291-1,"")</f>
        <v/>
      </c>
      <c r="AD289" s="59" t="str">
        <f>IFERROR(Inv_SY!R291/Inv_SY!$Z291-1,"")</f>
        <v/>
      </c>
      <c r="AE289" s="59" t="str">
        <f>IFERROR(Inv_SY!S291/Inv_SY!$Z291-1,"")</f>
        <v/>
      </c>
      <c r="AF289" s="59" t="str">
        <f>IFERROR(Inv_SY!T291/Inv_SY!$Z291-1,"")</f>
        <v/>
      </c>
      <c r="AG289" s="59" t="str">
        <f>IFERROR(Inv_SY!U291/Inv_SY!$Z291-1,"")</f>
        <v/>
      </c>
      <c r="AH289" s="59" t="str">
        <f>IFERROR(Inv_SY!V291/Inv_SY!$Y291-1,"")</f>
        <v/>
      </c>
      <c r="AI289" s="59" t="str">
        <f>IFERROR(Inv_SY!W291/Inv_SY!$Y291-1,"")</f>
        <v/>
      </c>
      <c r="AJ289" s="59" t="str">
        <f>IFERROR(Inv_SY!X291/Inv_SY!$Y291-1,"")</f>
        <v/>
      </c>
      <c r="AK289" s="59" t="str">
        <f>IFERROR(Inv_SY!V291/Inv_SY!$Z291-1,"")</f>
        <v/>
      </c>
      <c r="AL289" s="59" t="str">
        <f>IFERROR(Inv_SY!W291/Inv_SY!$Z291-1,"")</f>
        <v/>
      </c>
      <c r="AM289" s="59" t="str">
        <f>IFERROR(Inv_SY!X291/Inv_SY!$Z291-1,"")</f>
        <v/>
      </c>
    </row>
  </sheetData>
  <phoneticPr fontId="16" type="noConversion"/>
  <conditionalFormatting sqref="J2:J28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28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8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28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289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28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28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2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28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2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289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2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28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0"/>
  <sheetViews>
    <sheetView zoomScale="85" zoomScaleNormal="85" workbookViewId="0">
      <pane xSplit="8" ySplit="3" topLeftCell="I203" activePane="bottomRight" state="frozen"/>
      <selection pane="topRight" activeCell="I1" sqref="I1"/>
      <selection pane="bottomLeft" activeCell="A4" sqref="A4"/>
      <selection pane="bottomRight" activeCell="A220" sqref="A220"/>
    </sheetView>
  </sheetViews>
  <sheetFormatPr defaultRowHeight="14.4" x14ac:dyDescent="0.3"/>
  <cols>
    <col min="1" max="1" width="9" style="2" customWidth="1"/>
    <col min="2" max="2" width="9.77734375" customWidth="1"/>
    <col min="3" max="7" width="9" customWidth="1"/>
    <col min="8" max="8" width="10" bestFit="1" customWidth="1"/>
    <col min="9" max="10" width="10.21875" customWidth="1"/>
    <col min="11" max="11" width="9.5546875" bestFit="1" customWidth="1"/>
    <col min="12" max="12" width="18.77734375" bestFit="1" customWidth="1"/>
    <col min="13" max="13" width="11.21875" customWidth="1"/>
    <col min="14" max="14" width="15.44140625" customWidth="1"/>
    <col min="15" max="15" width="15.77734375" customWidth="1"/>
    <col min="16" max="16" width="43.21875" customWidth="1"/>
    <col min="17" max="17" width="19.77734375" customWidth="1"/>
    <col min="18" max="18" width="44.21875" customWidth="1"/>
    <col min="19" max="19" width="11" bestFit="1" customWidth="1"/>
    <col min="20" max="20" width="10" bestFit="1" customWidth="1"/>
    <col min="21" max="21" width="11" customWidth="1"/>
    <col min="22" max="22" width="13.21875" style="2" bestFit="1" customWidth="1"/>
    <col min="23" max="23" width="10.21875" style="2" customWidth="1"/>
    <col min="24" max="24" width="12.77734375" style="2" bestFit="1" customWidth="1"/>
    <col min="25" max="25" width="10.21875" style="2" customWidth="1"/>
    <col min="26" max="26" width="16.77734375" style="2" bestFit="1" customWidth="1"/>
    <col min="27" max="28" width="9.77734375" style="2" customWidth="1"/>
    <col min="29" max="29" width="14.77734375" style="2" bestFit="1" customWidth="1"/>
    <col min="30" max="30" width="13.2187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71" t="s">
        <v>1190</v>
      </c>
      <c r="AG3" s="171" t="s">
        <v>1191</v>
      </c>
    </row>
    <row r="4" spans="1:33" x14ac:dyDescent="0.3">
      <c r="A4" s="67">
        <v>1</v>
      </c>
      <c r="B4" s="74">
        <f>YEAR(Table1[[#This Row],[Date]])+IF(MONTH(Table1[[#This Row],[Date]])&gt;=4,1,0)</f>
        <v>2025</v>
      </c>
      <c r="C4" s="73">
        <f>YEAR(Table1[[#This Row],[Date]])</f>
        <v>2025</v>
      </c>
      <c r="D4" s="73" t="s">
        <v>1082</v>
      </c>
      <c r="E4" s="73" t="s">
        <v>1082</v>
      </c>
      <c r="F4" s="170">
        <f>Table1[[#This Row],[Date]]-DAY(Table1[[#This Row],[Date]])+1</f>
        <v>45717</v>
      </c>
      <c r="G4">
        <f>DAY(EOMONTH(Table1[[#This Row],[Month Year]],0))</f>
        <v>31</v>
      </c>
      <c r="H4" s="103">
        <v>45745</v>
      </c>
      <c r="I4" s="75">
        <f>IFERROR(VLOOKUP(Table1[[#This Row],[Date]],Table3[[Date]:[Sunset Time (POA&lt;20 W/m2)]],3,0),"")</f>
        <v>0.2638888888888889</v>
      </c>
      <c r="J4" s="75">
        <f>IFERROR(VLOOKUP(Table1[[#This Row],[Date]],Table3[[Date]:[Sunset Time (POA&lt;20 W/m2)]],4,0),"")</f>
        <v>0.76736111111111116</v>
      </c>
      <c r="K4" s="76">
        <f>IFERROR((Table1[[#This Row],[Sunset Time (POA&lt;20 W/m2)]]-Table1[[#This Row],[Sunrise Time (POA&gt;20 W/m2)]])*24,"")</f>
        <v>12.083333333333336</v>
      </c>
      <c r="L4" s="107" t="s">
        <v>231</v>
      </c>
      <c r="M4" s="90">
        <f>VLOOKUP(Table1[[#This Row],[Affceted Equipment]],'Basic Data'!$A$2:$C$818,2,0)</f>
        <v>669.6</v>
      </c>
      <c r="N4" s="92">
        <f>IFERROR(VLOOKUP(Table1[[#This Row],[Affceted Equipment]],'Basic Data'!$A$2:$C$818,3,0),"")</f>
        <v>8.348190352703562E-2</v>
      </c>
      <c r="O4" s="115" t="s">
        <v>323</v>
      </c>
      <c r="P4" s="93" t="s">
        <v>1088</v>
      </c>
      <c r="Q4" s="93"/>
      <c r="R4" s="93" t="s">
        <v>1088</v>
      </c>
      <c r="S4" s="91">
        <v>0.2638888888888889</v>
      </c>
      <c r="T4" s="116"/>
      <c r="U4" s="116"/>
      <c r="V4" s="91">
        <v>0.41249999999999998</v>
      </c>
      <c r="W4" s="88">
        <f>IF(Table1[[#This Row],[Acknowledgemnet Time ]]="NA","",(Table1[[#This Row],[Acknowledgemnet Time ]]-Table1[[#This Row],[Fault Time]])*24)</f>
        <v>-6.3333333333333339</v>
      </c>
      <c r="X4" s="88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89">
        <f>IFERROR(Table1[[#This Row],[Breakdown Time]]*Table1[[#This Row],[Plant Equivalent Weightage]],"")</f>
        <v>0.2977521225797603</v>
      </c>
      <c r="AD4" s="2">
        <v>0.94</v>
      </c>
      <c r="AE4" s="88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4">
        <f>YEAR(Table1[[#This Row],[Date]])+IF(MONTH(Table1[[#This Row],[Date]])&gt;=4,1,0)</f>
        <v>2025</v>
      </c>
      <c r="C5" s="73">
        <f>YEAR(Table1[[#This Row],[Date]])</f>
        <v>2025</v>
      </c>
      <c r="D5" s="73" t="s">
        <v>1082</v>
      </c>
      <c r="E5" s="73" t="s">
        <v>1082</v>
      </c>
      <c r="F5" s="170">
        <f>Table1[[#This Row],[Date]]-DAY(Table1[[#This Row],[Date]])+1</f>
        <v>45717</v>
      </c>
      <c r="G5">
        <f>DAY(EOMONTH(Table1[[#This Row],[Month Year]],0))</f>
        <v>31</v>
      </c>
      <c r="H5" s="103">
        <v>45745</v>
      </c>
      <c r="I5" s="75">
        <f>IFERROR(VLOOKUP(Table1[[#This Row],[Date]],Table3[[Date]:[Sunset Time (POA&lt;20 W/m2)]],3,0),"")</f>
        <v>0.2638888888888889</v>
      </c>
      <c r="J5" s="75">
        <f>IFERROR(VLOOKUP(Table1[[#This Row],[Date]],Table3[[Date]:[Sunset Time (POA&lt;20 W/m2)]],4,0),"")</f>
        <v>0.76736111111111116</v>
      </c>
      <c r="K5" s="76">
        <f>IFERROR((Table1[[#This Row],[Sunset Time (POA&lt;20 W/m2)]]-Table1[[#This Row],[Sunrise Time (POA&gt;20 W/m2)]])*24,"")</f>
        <v>12.083333333333336</v>
      </c>
      <c r="L5" s="107" t="s">
        <v>238</v>
      </c>
      <c r="M5" s="90">
        <f>VLOOKUP(Table1[[#This Row],[Affceted Equipment]],'Basic Data'!$A$2:$C$818,2,0)</f>
        <v>658.8</v>
      </c>
      <c r="N5" s="92">
        <f>IFERROR(VLOOKUP(Table1[[#This Row],[Affceted Equipment]],'Basic Data'!$A$2:$C$818,3,0),"")</f>
        <v>8.2135421212083434E-2</v>
      </c>
      <c r="O5" s="115" t="s">
        <v>303</v>
      </c>
      <c r="P5" s="93" t="s">
        <v>1087</v>
      </c>
      <c r="Q5" s="93"/>
      <c r="R5" s="93" t="s">
        <v>1087</v>
      </c>
      <c r="S5" s="91">
        <v>0.2638888888888889</v>
      </c>
      <c r="T5" s="116"/>
      <c r="U5" s="116"/>
      <c r="V5" s="91">
        <v>0.76736111111111116</v>
      </c>
      <c r="W5" s="88">
        <f>IF(Table1[[#This Row],[Acknowledgemnet Time ]]="NA","",(Table1[[#This Row],[Acknowledgemnet Time ]]-Table1[[#This Row],[Fault Time]])*24)</f>
        <v>-6.3333333333333339</v>
      </c>
      <c r="X5" s="88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89">
        <f>IFERROR(Table1[[#This Row],[Breakdown Time]]*Table1[[#This Row],[Plant Equivalent Weightage]],"")</f>
        <v>0.99246967297934174</v>
      </c>
      <c r="AD5" s="2">
        <v>5.53</v>
      </c>
      <c r="AE5" s="88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4">
        <f>YEAR(Table1[[#This Row],[Date]])+IF(MONTH(Table1[[#This Row],[Date]])&gt;=4,1,0)</f>
        <v>2025</v>
      </c>
      <c r="C6" s="73">
        <f>YEAR(Table1[[#This Row],[Date]])</f>
        <v>2025</v>
      </c>
      <c r="D6" s="73" t="s">
        <v>1082</v>
      </c>
      <c r="E6" s="73" t="s">
        <v>1082</v>
      </c>
      <c r="F6" s="170">
        <f>Table1[[#This Row],[Date]]-DAY(Table1[[#This Row],[Date]])+1</f>
        <v>45717</v>
      </c>
      <c r="G6">
        <f>DAY(EOMONTH(Table1[[#This Row],[Month Year]],0))</f>
        <v>31</v>
      </c>
      <c r="H6" s="103">
        <v>45745</v>
      </c>
      <c r="I6" s="75">
        <f>IFERROR(VLOOKUP(Table1[[#This Row],[Date]],Table3[[Date]:[Sunset Time (POA&lt;20 W/m2)]],3,0),"")</f>
        <v>0.2638888888888889</v>
      </c>
      <c r="J6" s="75">
        <f>IFERROR(VLOOKUP(Table1[[#This Row],[Date]],Table3[[Date]:[Sunset Time (POA&lt;20 W/m2)]],4,0),"")</f>
        <v>0.76736111111111116</v>
      </c>
      <c r="K6" s="76">
        <f>IFERROR((Table1[[#This Row],[Sunset Time (POA&lt;20 W/m2)]]-Table1[[#This Row],[Sunrise Time (POA&gt;20 W/m2)]])*24,"")</f>
        <v>12.083333333333336</v>
      </c>
      <c r="L6" s="107" t="s">
        <v>180</v>
      </c>
      <c r="M6" s="90">
        <f>VLOOKUP(Table1[[#This Row],[Affceted Equipment]],'Basic Data'!$A$2:$C$818,2,0)</f>
        <v>2694.6</v>
      </c>
      <c r="N6" s="92">
        <f>IFERROR(VLOOKUP(Table1[[#This Row],[Affceted Equipment]],'Basic Data'!$A$2:$C$818,3,0),"")</f>
        <v>0.33594733758057077</v>
      </c>
      <c r="O6" s="115" t="s">
        <v>323</v>
      </c>
      <c r="P6" s="93" t="s">
        <v>1085</v>
      </c>
      <c r="Q6" s="93"/>
      <c r="R6" s="93" t="s">
        <v>1089</v>
      </c>
      <c r="S6" s="91">
        <v>0.41249999999999998</v>
      </c>
      <c r="T6" s="116"/>
      <c r="U6" s="116"/>
      <c r="V6" s="91">
        <v>0.41736111111111113</v>
      </c>
      <c r="W6" s="88">
        <f>IF(Table1[[#This Row],[Acknowledgemnet Time ]]="NA","",(Table1[[#This Row],[Acknowledgemnet Time ]]-Table1[[#This Row],[Fault Time]])*24)</f>
        <v>-9.8999999999999986</v>
      </c>
      <c r="X6" s="88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89">
        <f>IFERROR(Table1[[#This Row],[Breakdown Time]]*Table1[[#This Row],[Plant Equivalent Weightage]],"")</f>
        <v>3.91938560510669E-2</v>
      </c>
      <c r="AD6" s="2">
        <v>0.08</v>
      </c>
      <c r="AE6" s="88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4">
        <f>YEAR(Table1[[#This Row],[Date]])+IF(MONTH(Table1[[#This Row],[Date]])&gt;=4,1,0)</f>
        <v>2025</v>
      </c>
      <c r="C7" s="73">
        <f>YEAR(Table1[[#This Row],[Date]])</f>
        <v>2025</v>
      </c>
      <c r="D7" s="73" t="s">
        <v>1082</v>
      </c>
      <c r="E7" s="73" t="s">
        <v>1082</v>
      </c>
      <c r="F7" s="170">
        <f>Table1[[#This Row],[Date]]-DAY(Table1[[#This Row],[Date]])+1</f>
        <v>45717</v>
      </c>
      <c r="G7">
        <f>DAY(EOMONTH(Table1[[#This Row],[Month Year]],0))</f>
        <v>31</v>
      </c>
      <c r="H7" s="103">
        <v>45745</v>
      </c>
      <c r="I7" s="75">
        <f>IFERROR(VLOOKUP(Table1[[#This Row],[Date]],Table3[[Date]:[Sunset Time (POA&lt;20 W/m2)]],3,0),"")</f>
        <v>0.2638888888888889</v>
      </c>
      <c r="J7" s="75">
        <f>IFERROR(VLOOKUP(Table1[[#This Row],[Date]],Table3[[Date]:[Sunset Time (POA&lt;20 W/m2)]],4,0),"")</f>
        <v>0.76736111111111116</v>
      </c>
      <c r="K7" s="76">
        <f>IFERROR((Table1[[#This Row],[Sunset Time (POA&lt;20 W/m2)]]-Table1[[#This Row],[Sunrise Time (POA&gt;20 W/m2)]])*24,"")</f>
        <v>12.083333333333336</v>
      </c>
      <c r="L7" s="107" t="s">
        <v>231</v>
      </c>
      <c r="M7" s="90">
        <f>VLOOKUP(Table1[[#This Row],[Affceted Equipment]],'Basic Data'!$A$2:$C$818,2,0)</f>
        <v>669.6</v>
      </c>
      <c r="N7" s="92">
        <f>IFERROR(VLOOKUP(Table1[[#This Row],[Affceted Equipment]],'Basic Data'!$A$2:$C$818,3,0),"")</f>
        <v>8.348190352703562E-2</v>
      </c>
      <c r="O7" s="115" t="s">
        <v>323</v>
      </c>
      <c r="P7" s="93" t="s">
        <v>1088</v>
      </c>
      <c r="Q7" s="93"/>
      <c r="R7" s="93" t="s">
        <v>1088</v>
      </c>
      <c r="S7" s="91">
        <v>0.41736111111111113</v>
      </c>
      <c r="T7" s="116"/>
      <c r="U7" s="116"/>
      <c r="V7" s="91">
        <v>0.42708333333333331</v>
      </c>
      <c r="W7" s="88">
        <f>IF(Table1[[#This Row],[Acknowledgemnet Time ]]="NA","",(Table1[[#This Row],[Acknowledgemnet Time ]]-Table1[[#This Row],[Fault Time]])*24)</f>
        <v>-10.016666666666667</v>
      </c>
      <c r="X7" s="88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89">
        <f>IFERROR(Table1[[#This Row],[Breakdown Time]]*Table1[[#This Row],[Plant Equivalent Weightage]],"")</f>
        <v>1.9479110822974908E-2</v>
      </c>
      <c r="AD7" s="2">
        <v>0.16</v>
      </c>
      <c r="AE7" s="88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4">
        <f>YEAR(Table1[[#This Row],[Date]])+IF(MONTH(Table1[[#This Row],[Date]])&gt;=4,1,0)</f>
        <v>2025</v>
      </c>
      <c r="C8" s="73">
        <f>YEAR(Table1[[#This Row],[Date]])</f>
        <v>2025</v>
      </c>
      <c r="D8" s="73" t="s">
        <v>1082</v>
      </c>
      <c r="E8" s="73" t="s">
        <v>1082</v>
      </c>
      <c r="F8" s="170">
        <f>Table1[[#This Row],[Date]]-DAY(Table1[[#This Row],[Date]])+1</f>
        <v>45717</v>
      </c>
      <c r="G8">
        <f>DAY(EOMONTH(Table1[[#This Row],[Month Year]],0))</f>
        <v>31</v>
      </c>
      <c r="H8" s="103">
        <v>45745</v>
      </c>
      <c r="I8" s="75">
        <f>IFERROR(VLOOKUP(Table1[[#This Row],[Date]],Table3[[Date]:[Sunset Time (POA&lt;20 W/m2)]],3,0),"")</f>
        <v>0.2638888888888889</v>
      </c>
      <c r="J8" s="75">
        <f>IFERROR(VLOOKUP(Table1[[#This Row],[Date]],Table3[[Date]:[Sunset Time (POA&lt;20 W/m2)]],4,0),"")</f>
        <v>0.76736111111111116</v>
      </c>
      <c r="K8" s="76">
        <f>IFERROR((Table1[[#This Row],[Sunset Time (POA&lt;20 W/m2)]]-Table1[[#This Row],[Sunrise Time (POA&gt;20 W/m2)]])*24,"")</f>
        <v>12.083333333333336</v>
      </c>
      <c r="L8" s="107" t="s">
        <v>180</v>
      </c>
      <c r="M8" s="90">
        <f>VLOOKUP(Table1[[#This Row],[Affceted Equipment]],'Basic Data'!$A$2:$C$818,2,0)</f>
        <v>2694.6</v>
      </c>
      <c r="N8" s="92">
        <f>IFERROR(VLOOKUP(Table1[[#This Row],[Affceted Equipment]],'Basic Data'!$A$2:$C$818,3,0),"")</f>
        <v>0.33594733758057077</v>
      </c>
      <c r="O8" s="115" t="s">
        <v>323</v>
      </c>
      <c r="P8" s="93" t="s">
        <v>1085</v>
      </c>
      <c r="Q8" s="93"/>
      <c r="R8" s="93" t="s">
        <v>1089</v>
      </c>
      <c r="S8" s="91">
        <v>0.42708333333333331</v>
      </c>
      <c r="T8" s="116"/>
      <c r="U8" s="116"/>
      <c r="V8" s="91">
        <v>0.43125000000000002</v>
      </c>
      <c r="W8" s="88">
        <f>IF(Table1[[#This Row],[Acknowledgemnet Time ]]="NA","",(Table1[[#This Row],[Acknowledgemnet Time ]]-Table1[[#This Row],[Fault Time]])*24)</f>
        <v>-10.25</v>
      </c>
      <c r="X8" s="88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89">
        <f>IFERROR(Table1[[#This Row],[Breakdown Time]]*Table1[[#This Row],[Plant Equivalent Weightage]],"")</f>
        <v>3.3594733758057403E-2</v>
      </c>
      <c r="AD8" s="2">
        <v>0.08</v>
      </c>
      <c r="AE8" s="88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4">
        <f>YEAR(Table1[[#This Row],[Date]])+IF(MONTH(Table1[[#This Row],[Date]])&gt;=4,1,0)</f>
        <v>2025</v>
      </c>
      <c r="C9" s="73">
        <f>YEAR(Table1[[#This Row],[Date]])</f>
        <v>2025</v>
      </c>
      <c r="D9" s="73" t="s">
        <v>1082</v>
      </c>
      <c r="E9" s="73" t="s">
        <v>1082</v>
      </c>
      <c r="F9" s="170">
        <f>Table1[[#This Row],[Date]]-DAY(Table1[[#This Row],[Date]])+1</f>
        <v>45717</v>
      </c>
      <c r="G9">
        <f>DAY(EOMONTH(Table1[[#This Row],[Month Year]],0))</f>
        <v>31</v>
      </c>
      <c r="H9" s="103">
        <v>45745</v>
      </c>
      <c r="I9" s="75">
        <f>IFERROR(VLOOKUP(Table1[[#This Row],[Date]],Table3[[Date]:[Sunset Time (POA&lt;20 W/m2)]],3,0),"")</f>
        <v>0.2638888888888889</v>
      </c>
      <c r="J9" s="75">
        <f>IFERROR(VLOOKUP(Table1[[#This Row],[Date]],Table3[[Date]:[Sunset Time (POA&lt;20 W/m2)]],4,0),"")</f>
        <v>0.76736111111111116</v>
      </c>
      <c r="K9" s="76">
        <f>IFERROR((Table1[[#This Row],[Sunset Time (POA&lt;20 W/m2)]]-Table1[[#This Row],[Sunrise Time (POA&gt;20 W/m2)]])*24,"")</f>
        <v>12.083333333333336</v>
      </c>
      <c r="L9" s="107" t="s">
        <v>231</v>
      </c>
      <c r="M9" s="90">
        <f>VLOOKUP(Table1[[#This Row],[Affceted Equipment]],'Basic Data'!$A$2:$C$818,2,0)</f>
        <v>669.6</v>
      </c>
      <c r="N9" s="92">
        <f>IFERROR(VLOOKUP(Table1[[#This Row],[Affceted Equipment]],'Basic Data'!$A$2:$C$818,3,0),"")</f>
        <v>8.348190352703562E-2</v>
      </c>
      <c r="O9" s="115" t="s">
        <v>323</v>
      </c>
      <c r="P9" s="93" t="s">
        <v>1088</v>
      </c>
      <c r="Q9" s="93"/>
      <c r="R9" s="93" t="s">
        <v>1088</v>
      </c>
      <c r="S9" s="91">
        <v>0.43125000000000002</v>
      </c>
      <c r="T9" s="116"/>
      <c r="U9" s="116"/>
      <c r="V9" s="91">
        <v>0.52986111111111112</v>
      </c>
      <c r="W9" s="88">
        <f>IF(Table1[[#This Row],[Acknowledgemnet Time ]]="NA","",(Table1[[#This Row],[Acknowledgemnet Time ]]-Table1[[#This Row],[Fault Time]])*24)</f>
        <v>-10.350000000000001</v>
      </c>
      <c r="X9" s="88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89">
        <f>IFERROR(Table1[[#This Row],[Breakdown Time]]*Table1[[#This Row],[Plant Equivalent Weightage]],"")</f>
        <v>0.19757383834731759</v>
      </c>
      <c r="AD9" s="2">
        <v>1.99</v>
      </c>
      <c r="AE9" s="88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4">
        <f>YEAR(Table1[[#This Row],[Date]])+IF(MONTH(Table1[[#This Row],[Date]])&gt;=4,1,0)</f>
        <v>2025</v>
      </c>
      <c r="C10" s="73">
        <f>YEAR(Table1[[#This Row],[Date]])</f>
        <v>2025</v>
      </c>
      <c r="D10" s="73" t="s">
        <v>1082</v>
      </c>
      <c r="E10" s="73" t="s">
        <v>1082</v>
      </c>
      <c r="F10" s="170">
        <f>Table1[[#This Row],[Date]]-DAY(Table1[[#This Row],[Date]])+1</f>
        <v>45717</v>
      </c>
      <c r="G10">
        <f>DAY(EOMONTH(Table1[[#This Row],[Month Year]],0))</f>
        <v>31</v>
      </c>
      <c r="H10" s="103">
        <v>45745</v>
      </c>
      <c r="I10" s="75">
        <f>IFERROR(VLOOKUP(Table1[[#This Row],[Date]],Table3[[Date]:[Sunset Time (POA&lt;20 W/m2)]],3,0),"")</f>
        <v>0.2638888888888889</v>
      </c>
      <c r="J10" s="75">
        <f>IFERROR(VLOOKUP(Table1[[#This Row],[Date]],Table3[[Date]:[Sunset Time (POA&lt;20 W/m2)]],4,0),"")</f>
        <v>0.76736111111111116</v>
      </c>
      <c r="K10" s="76">
        <f>IFERROR((Table1[[#This Row],[Sunset Time (POA&lt;20 W/m2)]]-Table1[[#This Row],[Sunrise Time (POA&gt;20 W/m2)]])*24,"")</f>
        <v>12.083333333333336</v>
      </c>
      <c r="L10" s="107" t="s">
        <v>232</v>
      </c>
      <c r="M10" s="90">
        <f>VLOOKUP(Table1[[#This Row],[Affceted Equipment]],'Basic Data'!$A$2:$C$818,2,0)</f>
        <v>669.6</v>
      </c>
      <c r="N10" s="92">
        <f>IFERROR(VLOOKUP(Table1[[#This Row],[Affceted Equipment]],'Basic Data'!$A$2:$C$818,3,0),"")</f>
        <v>8.348190352703562E-2</v>
      </c>
      <c r="O10" s="115" t="s">
        <v>323</v>
      </c>
      <c r="P10" s="93" t="s">
        <v>1090</v>
      </c>
      <c r="Q10" s="93"/>
      <c r="R10" s="93" t="s">
        <v>1090</v>
      </c>
      <c r="S10" s="91">
        <v>0.43125000000000002</v>
      </c>
      <c r="T10" s="116"/>
      <c r="U10" s="116"/>
      <c r="V10" s="91">
        <v>0.52986111111111112</v>
      </c>
      <c r="W10" s="88">
        <f>IF(Table1[[#This Row],[Acknowledgemnet Time ]]="NA","",(Table1[[#This Row],[Acknowledgemnet Time ]]-Table1[[#This Row],[Fault Time]])*24)</f>
        <v>-10.350000000000001</v>
      </c>
      <c r="X10" s="88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89">
        <f>IFERROR(Table1[[#This Row],[Breakdown Time]]*Table1[[#This Row],[Plant Equivalent Weightage]],"")</f>
        <v>0.19757383834731759</v>
      </c>
      <c r="AD10" s="2">
        <v>1.99</v>
      </c>
      <c r="AE10" s="88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4">
        <f>YEAR(Table1[[#This Row],[Date]])+IF(MONTH(Table1[[#This Row],[Date]])&gt;=4,1,0)</f>
        <v>2025</v>
      </c>
      <c r="C11" s="73">
        <f>YEAR(Table1[[#This Row],[Date]])</f>
        <v>2025</v>
      </c>
      <c r="D11" s="73" t="s">
        <v>1082</v>
      </c>
      <c r="E11" s="73" t="s">
        <v>1082</v>
      </c>
      <c r="F11" s="170">
        <f>Table1[[#This Row],[Date]]-DAY(Table1[[#This Row],[Date]])+1</f>
        <v>45717</v>
      </c>
      <c r="G11">
        <f>DAY(EOMONTH(Table1[[#This Row],[Month Year]],0))</f>
        <v>31</v>
      </c>
      <c r="H11" s="103">
        <v>45745</v>
      </c>
      <c r="I11" s="75">
        <f>IFERROR(VLOOKUP(Table1[[#This Row],[Date]],Table3[[Date]:[Sunset Time (POA&lt;20 W/m2)]],3,0),"")</f>
        <v>0.2638888888888889</v>
      </c>
      <c r="J11" s="75">
        <f>IFERROR(VLOOKUP(Table1[[#This Row],[Date]],Table3[[Date]:[Sunset Time (POA&lt;20 W/m2)]],4,0),"")</f>
        <v>0.76736111111111116</v>
      </c>
      <c r="K11" s="76">
        <f>IFERROR((Table1[[#This Row],[Sunset Time (POA&lt;20 W/m2)]]-Table1[[#This Row],[Sunrise Time (POA&gt;20 W/m2)]])*24,"")</f>
        <v>12.083333333333336</v>
      </c>
      <c r="L11" s="107" t="s">
        <v>180</v>
      </c>
      <c r="M11" s="90">
        <f>VLOOKUP(Table1[[#This Row],[Affceted Equipment]],'Basic Data'!$A$2:$C$818,2,0)</f>
        <v>2694.6</v>
      </c>
      <c r="N11" s="92">
        <f>IFERROR(VLOOKUP(Table1[[#This Row],[Affceted Equipment]],'Basic Data'!$A$2:$C$818,3,0),"")</f>
        <v>0.33594733758057077</v>
      </c>
      <c r="O11" s="115" t="s">
        <v>323</v>
      </c>
      <c r="P11" s="93" t="s">
        <v>1085</v>
      </c>
      <c r="Q11" s="93"/>
      <c r="R11" s="93" t="s">
        <v>1089</v>
      </c>
      <c r="S11" s="91">
        <v>0.52986111111111112</v>
      </c>
      <c r="T11" s="116"/>
      <c r="U11" s="116"/>
      <c r="V11" s="91">
        <v>0.53611111111111109</v>
      </c>
      <c r="W11" s="88">
        <f>IF(Table1[[#This Row],[Acknowledgemnet Time ]]="NA","",(Table1[[#This Row],[Acknowledgemnet Time ]]-Table1[[#This Row],[Fault Time]])*24)</f>
        <v>-12.716666666666667</v>
      </c>
      <c r="X11" s="88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89">
        <f>IFERROR(Table1[[#This Row],[Breakdown Time]]*Table1[[#This Row],[Plant Equivalent Weightage]],"")</f>
        <v>5.0392100637085435E-2</v>
      </c>
      <c r="AD11" s="2">
        <v>0.14000000000000001</v>
      </c>
      <c r="AE11" s="88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4">
        <f>YEAR(Table1[[#This Row],[Date]])+IF(MONTH(Table1[[#This Row],[Date]])&gt;=4,1,0)</f>
        <v>2025</v>
      </c>
      <c r="C12" s="73">
        <f>YEAR(Table1[[#This Row],[Date]])</f>
        <v>2025</v>
      </c>
      <c r="D12" s="73" t="s">
        <v>1082</v>
      </c>
      <c r="E12" s="73" t="s">
        <v>1082</v>
      </c>
      <c r="F12" s="170">
        <f>Table1[[#This Row],[Date]]-DAY(Table1[[#This Row],[Date]])+1</f>
        <v>45717</v>
      </c>
      <c r="G12">
        <f>DAY(EOMONTH(Table1[[#This Row],[Month Year]],0))</f>
        <v>31</v>
      </c>
      <c r="H12" s="103">
        <v>45745</v>
      </c>
      <c r="I12" s="75">
        <f>IFERROR(VLOOKUP(Table1[[#This Row],[Date]],Table3[[Date]:[Sunset Time (POA&lt;20 W/m2)]],3,0),"")</f>
        <v>0.2638888888888889</v>
      </c>
      <c r="J12" s="75">
        <f>IFERROR(VLOOKUP(Table1[[#This Row],[Date]],Table3[[Date]:[Sunset Time (POA&lt;20 W/m2)]],4,0),"")</f>
        <v>0.76736111111111116</v>
      </c>
      <c r="K12" s="76">
        <f>IFERROR((Table1[[#This Row],[Sunset Time (POA&lt;20 W/m2)]]-Table1[[#This Row],[Sunrise Time (POA&gt;20 W/m2)]])*24,"")</f>
        <v>12.083333333333336</v>
      </c>
      <c r="L12" s="107" t="s">
        <v>231</v>
      </c>
      <c r="M12" s="90">
        <f>VLOOKUP(Table1[[#This Row],[Affceted Equipment]],'Basic Data'!$A$2:$C$818,2,0)</f>
        <v>669.6</v>
      </c>
      <c r="N12" s="92">
        <f>IFERROR(VLOOKUP(Table1[[#This Row],[Affceted Equipment]],'Basic Data'!$A$2:$C$818,3,0),"")</f>
        <v>8.348190352703562E-2</v>
      </c>
      <c r="O12" s="115" t="s">
        <v>323</v>
      </c>
      <c r="P12" s="93" t="s">
        <v>1088</v>
      </c>
      <c r="Q12" s="93"/>
      <c r="R12" s="93" t="s">
        <v>1088</v>
      </c>
      <c r="S12" s="91">
        <v>0.53611111111111109</v>
      </c>
      <c r="T12" s="116"/>
      <c r="U12" s="116"/>
      <c r="V12" s="91">
        <v>0.5625</v>
      </c>
      <c r="W12" s="88">
        <f>IF(Table1[[#This Row],[Acknowledgemnet Time ]]="NA","",(Table1[[#This Row],[Acknowledgemnet Time ]]-Table1[[#This Row],[Fault Time]])*24)</f>
        <v>-12.866666666666667</v>
      </c>
      <c r="X12" s="88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89">
        <f>IFERROR(Table1[[#This Row],[Breakdown Time]]*Table1[[#This Row],[Plant Equivalent Weightage]],"")</f>
        <v>5.2871872233789259E-2</v>
      </c>
      <c r="AD12" s="2">
        <v>0.57999999999999996</v>
      </c>
      <c r="AE12" s="88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4">
        <f>YEAR(Table1[[#This Row],[Date]])+IF(MONTH(Table1[[#This Row],[Date]])&gt;=4,1,0)</f>
        <v>2025</v>
      </c>
      <c r="C13" s="73">
        <f>YEAR(Table1[[#This Row],[Date]])</f>
        <v>2025</v>
      </c>
      <c r="D13" s="73" t="s">
        <v>1082</v>
      </c>
      <c r="E13" s="73" t="s">
        <v>1082</v>
      </c>
      <c r="F13" s="170">
        <f>Table1[[#This Row],[Date]]-DAY(Table1[[#This Row],[Date]])+1</f>
        <v>45717</v>
      </c>
      <c r="G13">
        <f>DAY(EOMONTH(Table1[[#This Row],[Month Year]],0))</f>
        <v>31</v>
      </c>
      <c r="H13" s="103">
        <v>45745</v>
      </c>
      <c r="I13" s="75">
        <f>IFERROR(VLOOKUP(Table1[[#This Row],[Date]],Table3[[Date]:[Sunset Time (POA&lt;20 W/m2)]],3,0),"")</f>
        <v>0.2638888888888889</v>
      </c>
      <c r="J13" s="75">
        <f>IFERROR(VLOOKUP(Table1[[#This Row],[Date]],Table3[[Date]:[Sunset Time (POA&lt;20 W/m2)]],4,0),"")</f>
        <v>0.76736111111111116</v>
      </c>
      <c r="K13" s="76">
        <f>IFERROR((Table1[[#This Row],[Sunset Time (POA&lt;20 W/m2)]]-Table1[[#This Row],[Sunrise Time (POA&gt;20 W/m2)]])*24,"")</f>
        <v>12.083333333333336</v>
      </c>
      <c r="L13" s="107" t="s">
        <v>232</v>
      </c>
      <c r="M13" s="90">
        <f>VLOOKUP(Table1[[#This Row],[Affceted Equipment]],'Basic Data'!$A$2:$C$818,2,0)</f>
        <v>669.6</v>
      </c>
      <c r="N13" s="92">
        <f>IFERROR(VLOOKUP(Table1[[#This Row],[Affceted Equipment]],'Basic Data'!$A$2:$C$818,3,0),"")</f>
        <v>8.348190352703562E-2</v>
      </c>
      <c r="O13" s="115" t="s">
        <v>323</v>
      </c>
      <c r="P13" s="93" t="s">
        <v>1090</v>
      </c>
      <c r="Q13" s="93"/>
      <c r="R13" s="93" t="s">
        <v>1090</v>
      </c>
      <c r="S13" s="91">
        <v>0.53611111111111109</v>
      </c>
      <c r="T13" s="116"/>
      <c r="U13" s="116"/>
      <c r="V13" s="91">
        <v>0.5625</v>
      </c>
      <c r="W13" s="88">
        <f>IF(Table1[[#This Row],[Acknowledgemnet Time ]]="NA","",(Table1[[#This Row],[Acknowledgemnet Time ]]-Table1[[#This Row],[Fault Time]])*24)</f>
        <v>-12.866666666666667</v>
      </c>
      <c r="X13" s="88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89">
        <f>IFERROR(Table1[[#This Row],[Breakdown Time]]*Table1[[#This Row],[Plant Equivalent Weightage]],"")</f>
        <v>5.2871872233789259E-2</v>
      </c>
      <c r="AD13" s="2">
        <v>0.57999999999999996</v>
      </c>
      <c r="AE13" s="88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4">
        <f>YEAR(Table1[[#This Row],[Date]])+IF(MONTH(Table1[[#This Row],[Date]])&gt;=4,1,0)</f>
        <v>2025</v>
      </c>
      <c r="C14" s="73">
        <f>YEAR(Table1[[#This Row],[Date]])</f>
        <v>2025</v>
      </c>
      <c r="D14" s="73" t="s">
        <v>1082</v>
      </c>
      <c r="E14" s="73" t="s">
        <v>1082</v>
      </c>
      <c r="F14" s="170">
        <f>Table1[[#This Row],[Date]]-DAY(Table1[[#This Row],[Date]])+1</f>
        <v>45717</v>
      </c>
      <c r="G14">
        <f>DAY(EOMONTH(Table1[[#This Row],[Month Year]],0))</f>
        <v>31</v>
      </c>
      <c r="H14" s="103">
        <v>45745</v>
      </c>
      <c r="I14" s="75">
        <f>IFERROR(VLOOKUP(Table1[[#This Row],[Date]],Table3[[Date]:[Sunset Time (POA&lt;20 W/m2)]],3,0),"")</f>
        <v>0.2638888888888889</v>
      </c>
      <c r="J14" s="75">
        <f>IFERROR(VLOOKUP(Table1[[#This Row],[Date]],Table3[[Date]:[Sunset Time (POA&lt;20 W/m2)]],4,0),"")</f>
        <v>0.76736111111111116</v>
      </c>
      <c r="K14" s="76">
        <f>IFERROR((Table1[[#This Row],[Sunset Time (POA&lt;20 W/m2)]]-Table1[[#This Row],[Sunrise Time (POA&gt;20 W/m2)]])*24,"")</f>
        <v>12.083333333333336</v>
      </c>
      <c r="L14" s="107" t="s">
        <v>180</v>
      </c>
      <c r="M14" s="90">
        <f>VLOOKUP(Table1[[#This Row],[Affceted Equipment]],'Basic Data'!$A$2:$C$818,2,0)</f>
        <v>2694.6</v>
      </c>
      <c r="N14" s="92">
        <f>IFERROR(VLOOKUP(Table1[[#This Row],[Affceted Equipment]],'Basic Data'!$A$2:$C$818,3,0),"")</f>
        <v>0.33594733758057077</v>
      </c>
      <c r="O14" s="115" t="s">
        <v>323</v>
      </c>
      <c r="P14" s="93" t="s">
        <v>1085</v>
      </c>
      <c r="Q14" s="93"/>
      <c r="R14" s="93" t="s">
        <v>1089</v>
      </c>
      <c r="S14" s="91">
        <v>0.5625</v>
      </c>
      <c r="T14" s="116"/>
      <c r="U14" s="116"/>
      <c r="V14" s="91">
        <v>0.56874999999999998</v>
      </c>
      <c r="W14" s="88">
        <f>IF(Table1[[#This Row],[Acknowledgemnet Time ]]="NA","",(Table1[[#This Row],[Acknowledgemnet Time ]]-Table1[[#This Row],[Fault Time]])*24)</f>
        <v>-13.5</v>
      </c>
      <c r="X14" s="88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89">
        <f>IFERROR(Table1[[#This Row],[Breakdown Time]]*Table1[[#This Row],[Plant Equivalent Weightage]],"")</f>
        <v>5.0392100637085435E-2</v>
      </c>
      <c r="AD14" s="2">
        <v>0.14000000000000001</v>
      </c>
      <c r="AE14" s="88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4">
        <f>YEAR(Table1[[#This Row],[Date]])+IF(MONTH(Table1[[#This Row],[Date]])&gt;=4,1,0)</f>
        <v>2025</v>
      </c>
      <c r="C15" s="73">
        <f>YEAR(Table1[[#This Row],[Date]])</f>
        <v>2025</v>
      </c>
      <c r="D15" s="73" t="s">
        <v>1082</v>
      </c>
      <c r="E15" s="73" t="s">
        <v>1082</v>
      </c>
      <c r="F15" s="170">
        <f>Table1[[#This Row],[Date]]-DAY(Table1[[#This Row],[Date]])+1</f>
        <v>45717</v>
      </c>
      <c r="G15">
        <f>DAY(EOMONTH(Table1[[#This Row],[Month Year]],0))</f>
        <v>31</v>
      </c>
      <c r="H15" s="103">
        <v>45745</v>
      </c>
      <c r="I15" s="75">
        <f>IFERROR(VLOOKUP(Table1[[#This Row],[Date]],Table3[[Date]:[Sunset Time (POA&lt;20 W/m2)]],3,0),"")</f>
        <v>0.2638888888888889</v>
      </c>
      <c r="J15" s="75">
        <f>IFERROR(VLOOKUP(Table1[[#This Row],[Date]],Table3[[Date]:[Sunset Time (POA&lt;20 W/m2)]],4,0),"")</f>
        <v>0.76736111111111116</v>
      </c>
      <c r="K15" s="76">
        <f>IFERROR((Table1[[#This Row],[Sunset Time (POA&lt;20 W/m2)]]-Table1[[#This Row],[Sunrise Time (POA&gt;20 W/m2)]])*24,"")</f>
        <v>12.083333333333336</v>
      </c>
      <c r="L15" s="107" t="s">
        <v>231</v>
      </c>
      <c r="M15" s="90">
        <f>VLOOKUP(Table1[[#This Row],[Affceted Equipment]],'Basic Data'!$A$2:$C$818,2,0)</f>
        <v>669.6</v>
      </c>
      <c r="N15" s="92">
        <f>IFERROR(VLOOKUP(Table1[[#This Row],[Affceted Equipment]],'Basic Data'!$A$2:$C$818,3,0),"")</f>
        <v>8.348190352703562E-2</v>
      </c>
      <c r="O15" s="115" t="s">
        <v>323</v>
      </c>
      <c r="P15" s="93" t="s">
        <v>1088</v>
      </c>
      <c r="Q15" s="93"/>
      <c r="R15" s="93" t="s">
        <v>1088</v>
      </c>
      <c r="S15" s="91">
        <v>0.56874999999999998</v>
      </c>
      <c r="T15" s="116"/>
      <c r="U15" s="116"/>
      <c r="V15" s="91">
        <v>0.63680555555555551</v>
      </c>
      <c r="W15" s="88">
        <f>IF(Table1[[#This Row],[Acknowledgemnet Time ]]="NA","",(Table1[[#This Row],[Acknowledgemnet Time ]]-Table1[[#This Row],[Fault Time]])*24)</f>
        <v>-13.649999999999999</v>
      </c>
      <c r="X15" s="88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89">
        <f>IFERROR(Table1[[#This Row],[Breakdown Time]]*Table1[[#This Row],[Plant Equivalent Weightage]],"")</f>
        <v>0.1363537757608248</v>
      </c>
      <c r="AD15" s="2">
        <v>1.02</v>
      </c>
      <c r="AE15" s="88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4">
        <f>YEAR(Table1[[#This Row],[Date]])+IF(MONTH(Table1[[#This Row],[Date]])&gt;=4,1,0)</f>
        <v>2025</v>
      </c>
      <c r="C16" s="73">
        <f>YEAR(Table1[[#This Row],[Date]])</f>
        <v>2025</v>
      </c>
      <c r="D16" s="73" t="s">
        <v>1082</v>
      </c>
      <c r="E16" s="73" t="s">
        <v>1082</v>
      </c>
      <c r="F16" s="170">
        <f>Table1[[#This Row],[Date]]-DAY(Table1[[#This Row],[Date]])+1</f>
        <v>45717</v>
      </c>
      <c r="G16">
        <f>DAY(EOMONTH(Table1[[#This Row],[Month Year]],0))</f>
        <v>31</v>
      </c>
      <c r="H16" s="103">
        <v>45745</v>
      </c>
      <c r="I16" s="75">
        <f>IFERROR(VLOOKUP(Table1[[#This Row],[Date]],Table3[[Date]:[Sunset Time (POA&lt;20 W/m2)]],3,0),"")</f>
        <v>0.2638888888888889</v>
      </c>
      <c r="J16" s="75">
        <f>IFERROR(VLOOKUP(Table1[[#This Row],[Date]],Table3[[Date]:[Sunset Time (POA&lt;20 W/m2)]],4,0),"")</f>
        <v>0.76736111111111116</v>
      </c>
      <c r="K16" s="76">
        <f>IFERROR((Table1[[#This Row],[Sunset Time (POA&lt;20 W/m2)]]-Table1[[#This Row],[Sunrise Time (POA&gt;20 W/m2)]])*24,"")</f>
        <v>12.083333333333336</v>
      </c>
      <c r="L16" s="107" t="s">
        <v>232</v>
      </c>
      <c r="M16" s="90">
        <f>VLOOKUP(Table1[[#This Row],[Affceted Equipment]],'Basic Data'!$A$2:$C$818,2,0)</f>
        <v>669.6</v>
      </c>
      <c r="N16" s="92">
        <f>IFERROR(VLOOKUP(Table1[[#This Row],[Affceted Equipment]],'Basic Data'!$A$2:$C$818,3,0),"")</f>
        <v>8.348190352703562E-2</v>
      </c>
      <c r="O16" s="115" t="s">
        <v>323</v>
      </c>
      <c r="P16" s="93" t="s">
        <v>1090</v>
      </c>
      <c r="Q16" s="93"/>
      <c r="R16" s="93" t="s">
        <v>1090</v>
      </c>
      <c r="S16" s="91">
        <v>0.56874999999999998</v>
      </c>
      <c r="T16" s="116"/>
      <c r="U16" s="116"/>
      <c r="V16" s="91">
        <v>0.63680555555555551</v>
      </c>
      <c r="W16" s="88">
        <f>IF(Table1[[#This Row],[Acknowledgemnet Time ]]="NA","",(Table1[[#This Row],[Acknowledgemnet Time ]]-Table1[[#This Row],[Fault Time]])*24)</f>
        <v>-13.649999999999999</v>
      </c>
      <c r="X16" s="88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89">
        <f>IFERROR(Table1[[#This Row],[Breakdown Time]]*Table1[[#This Row],[Plant Equivalent Weightage]],"")</f>
        <v>0.1363537757608248</v>
      </c>
      <c r="AD16" s="2">
        <v>1.02</v>
      </c>
      <c r="AE16" s="88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4">
        <f>YEAR(Table1[[#This Row],[Date]])+IF(MONTH(Table1[[#This Row],[Date]])&gt;=4,1,0)</f>
        <v>2025</v>
      </c>
      <c r="C17" s="73">
        <f>YEAR(Table1[[#This Row],[Date]])</f>
        <v>2025</v>
      </c>
      <c r="D17" s="73" t="s">
        <v>1082</v>
      </c>
      <c r="E17" s="73" t="s">
        <v>1082</v>
      </c>
      <c r="F17" s="170">
        <f>Table1[[#This Row],[Date]]-DAY(Table1[[#This Row],[Date]])+1</f>
        <v>45717</v>
      </c>
      <c r="G17">
        <f>DAY(EOMONTH(Table1[[#This Row],[Month Year]],0))</f>
        <v>31</v>
      </c>
      <c r="H17" s="103">
        <v>45745</v>
      </c>
      <c r="I17" s="75">
        <f>IFERROR(VLOOKUP(Table1[[#This Row],[Date]],Table3[[Date]:[Sunset Time (POA&lt;20 W/m2)]],3,0),"")</f>
        <v>0.2638888888888889</v>
      </c>
      <c r="J17" s="75">
        <f>IFERROR(VLOOKUP(Table1[[#This Row],[Date]],Table3[[Date]:[Sunset Time (POA&lt;20 W/m2)]],4,0),"")</f>
        <v>0.76736111111111116</v>
      </c>
      <c r="K17" s="76">
        <f>IFERROR((Table1[[#This Row],[Sunset Time (POA&lt;20 W/m2)]]-Table1[[#This Row],[Sunrise Time (POA&gt;20 W/m2)]])*24,"")</f>
        <v>12.083333333333336</v>
      </c>
      <c r="L17" s="107" t="s">
        <v>180</v>
      </c>
      <c r="M17" s="90">
        <f>VLOOKUP(Table1[[#This Row],[Affceted Equipment]],'Basic Data'!$A$2:$C$818,2,0)</f>
        <v>2694.6</v>
      </c>
      <c r="N17" s="92">
        <f>IFERROR(VLOOKUP(Table1[[#This Row],[Affceted Equipment]],'Basic Data'!$A$2:$C$818,3,0),"")</f>
        <v>0.33594733758057077</v>
      </c>
      <c r="O17" s="115" t="s">
        <v>323</v>
      </c>
      <c r="P17" s="93" t="s">
        <v>1091</v>
      </c>
      <c r="Q17" s="93"/>
      <c r="R17" s="93" t="s">
        <v>1091</v>
      </c>
      <c r="S17" s="91">
        <v>0.63680555555555551</v>
      </c>
      <c r="T17" s="116"/>
      <c r="U17" s="116"/>
      <c r="V17" s="91">
        <v>0.63749999999999996</v>
      </c>
      <c r="W17" s="88">
        <f>IF(Table1[[#This Row],[Acknowledgemnet Time ]]="NA","",(Table1[[#This Row],[Acknowledgemnet Time ]]-Table1[[#This Row],[Fault Time]])*24)</f>
        <v>-15.283333333333331</v>
      </c>
      <c r="X17" s="88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89">
        <f>IFERROR(Table1[[#This Row],[Breakdown Time]]*Table1[[#This Row],[Plant Equivalent Weightage]],"")</f>
        <v>5.5991222930094932E-3</v>
      </c>
      <c r="AD17" s="2">
        <v>0.01</v>
      </c>
      <c r="AE17" s="88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4">
        <f>YEAR(Table1[[#This Row],[Date]])+IF(MONTH(Table1[[#This Row],[Date]])&gt;=4,1,0)</f>
        <v>2025</v>
      </c>
      <c r="C18" s="73">
        <f>YEAR(Table1[[#This Row],[Date]])</f>
        <v>2025</v>
      </c>
      <c r="D18" s="73" t="s">
        <v>1082</v>
      </c>
      <c r="E18" s="73" t="s">
        <v>1082</v>
      </c>
      <c r="F18" s="170">
        <f>Table1[[#This Row],[Date]]-DAY(Table1[[#This Row],[Date]])+1</f>
        <v>45717</v>
      </c>
      <c r="G18">
        <f>DAY(EOMONTH(Table1[[#This Row],[Month Year]],0))</f>
        <v>31</v>
      </c>
      <c r="H18" s="103">
        <v>45745</v>
      </c>
      <c r="I18" s="75">
        <f>IFERROR(VLOOKUP(Table1[[#This Row],[Date]],Table3[[Date]:[Sunset Time (POA&lt;20 W/m2)]],3,0),"")</f>
        <v>0.2638888888888889</v>
      </c>
      <c r="J18" s="75">
        <f>IFERROR(VLOOKUP(Table1[[#This Row],[Date]],Table3[[Date]:[Sunset Time (POA&lt;20 W/m2)]],4,0),"")</f>
        <v>0.76736111111111116</v>
      </c>
      <c r="K18" s="76">
        <f>IFERROR((Table1[[#This Row],[Sunset Time (POA&lt;20 W/m2)]]-Table1[[#This Row],[Sunrise Time (POA&gt;20 W/m2)]])*24,"")</f>
        <v>12.083333333333336</v>
      </c>
      <c r="L18" s="107" t="s">
        <v>231</v>
      </c>
      <c r="M18" s="90">
        <f>VLOOKUP(Table1[[#This Row],[Affceted Equipment]],'Basic Data'!$A$2:$C$818,2,0)</f>
        <v>669.6</v>
      </c>
      <c r="N18" s="92">
        <f>IFERROR(VLOOKUP(Table1[[#This Row],[Affceted Equipment]],'Basic Data'!$A$2:$C$818,3,0),"")</f>
        <v>8.348190352703562E-2</v>
      </c>
      <c r="O18" s="115" t="s">
        <v>323</v>
      </c>
      <c r="P18" s="93" t="s">
        <v>1088</v>
      </c>
      <c r="Q18" s="93"/>
      <c r="R18" s="93" t="s">
        <v>1088</v>
      </c>
      <c r="S18" s="91">
        <v>0.63749999999999996</v>
      </c>
      <c r="T18" s="116"/>
      <c r="U18" s="116"/>
      <c r="V18" s="91">
        <v>0.76736111111111116</v>
      </c>
      <c r="W18" s="88">
        <f>IF(Table1[[#This Row],[Acknowledgemnet Time ]]="NA","",(Table1[[#This Row],[Acknowledgemnet Time ]]-Table1[[#This Row],[Fault Time]])*24)</f>
        <v>-15.299999999999999</v>
      </c>
      <c r="X18" s="88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89">
        <f>IFERROR(Table1[[#This Row],[Breakdown Time]]*Table1[[#This Row],[Plant Equivalent Weightage]],"")</f>
        <v>0.26018526599259456</v>
      </c>
      <c r="AD18" s="2">
        <v>0.45</v>
      </c>
      <c r="AE18" s="88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4">
        <f>YEAR(Table1[[#This Row],[Date]])+IF(MONTH(Table1[[#This Row],[Date]])&gt;=4,1,0)</f>
        <v>2025</v>
      </c>
      <c r="C19" s="73">
        <f>YEAR(Table1[[#This Row],[Date]])</f>
        <v>2025</v>
      </c>
      <c r="D19" s="73" t="s">
        <v>1082</v>
      </c>
      <c r="E19" s="73" t="s">
        <v>1082</v>
      </c>
      <c r="F19" s="170">
        <f>Table1[[#This Row],[Date]]-DAY(Table1[[#This Row],[Date]])+1</f>
        <v>45717</v>
      </c>
      <c r="G19">
        <f>DAY(EOMONTH(Table1[[#This Row],[Month Year]],0))</f>
        <v>31</v>
      </c>
      <c r="H19" s="103">
        <v>45746</v>
      </c>
      <c r="I19" s="75">
        <f>IFERROR(VLOOKUP(Table1[[#This Row],[Date]],Table3[[Date]:[Sunset Time (POA&lt;20 W/m2)]],3,0),"")</f>
        <v>0.2638888888888889</v>
      </c>
      <c r="J19" s="75">
        <f>IFERROR(VLOOKUP(Table1[[#This Row],[Date]],Table3[[Date]:[Sunset Time (POA&lt;20 W/m2)]],4,0),"")</f>
        <v>0.7680555555555556</v>
      </c>
      <c r="K19" s="76">
        <f>IFERROR((Table1[[#This Row],[Sunset Time (POA&lt;20 W/m2)]]-Table1[[#This Row],[Sunrise Time (POA&gt;20 W/m2)]])*24,"")</f>
        <v>12.1</v>
      </c>
      <c r="L19" s="107" t="s">
        <v>238</v>
      </c>
      <c r="M19" s="90">
        <f>VLOOKUP(Table1[[#This Row],[Affceted Equipment]],'Basic Data'!$A$2:$C$818,2,0)</f>
        <v>658.8</v>
      </c>
      <c r="N19" s="92">
        <f>IFERROR(VLOOKUP(Table1[[#This Row],[Affceted Equipment]],'Basic Data'!$A$2:$C$818,3,0),"")</f>
        <v>8.2135421212083434E-2</v>
      </c>
      <c r="O19" s="115" t="s">
        <v>323</v>
      </c>
      <c r="P19" s="93" t="s">
        <v>1087</v>
      </c>
      <c r="Q19" s="93"/>
      <c r="R19" s="93" t="s">
        <v>1087</v>
      </c>
      <c r="S19" s="91">
        <v>0.2638888888888889</v>
      </c>
      <c r="T19" s="116"/>
      <c r="U19" s="116"/>
      <c r="V19" s="91">
        <v>0.7680555555555556</v>
      </c>
      <c r="W19" s="88">
        <f>IF(Table1[[#This Row],[Acknowledgemnet Time ]]="NA","",(Table1[[#This Row],[Acknowledgemnet Time ]]-Table1[[#This Row],[Fault Time]])*24)</f>
        <v>-6.3333333333333339</v>
      </c>
      <c r="X19" s="88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89">
        <f>IFERROR(Table1[[#This Row],[Breakdown Time]]*Table1[[#This Row],[Plant Equivalent Weightage]],"")</f>
        <v>0.99383859666620955</v>
      </c>
      <c r="AD19" s="2">
        <v>5.95</v>
      </c>
      <c r="AE19" s="88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4">
        <f>YEAR(Table1[[#This Row],[Date]])+IF(MONTH(Table1[[#This Row],[Date]])&gt;=4,1,0)</f>
        <v>2025</v>
      </c>
      <c r="C20" s="73">
        <f>YEAR(Table1[[#This Row],[Date]])</f>
        <v>2025</v>
      </c>
      <c r="D20" s="73" t="s">
        <v>1082</v>
      </c>
      <c r="E20" s="73" t="s">
        <v>1082</v>
      </c>
      <c r="F20" s="170">
        <f>Table1[[#This Row],[Date]]-DAY(Table1[[#This Row],[Date]])+1</f>
        <v>45717</v>
      </c>
      <c r="G20">
        <f>DAY(EOMONTH(Table1[[#This Row],[Month Year]],0))</f>
        <v>31</v>
      </c>
      <c r="H20" s="103">
        <v>45746</v>
      </c>
      <c r="I20" s="75">
        <f>IFERROR(VLOOKUP(Table1[[#This Row],[Date]],Table3[[Date]:[Sunset Time (POA&lt;20 W/m2)]],3,0),"")</f>
        <v>0.2638888888888889</v>
      </c>
      <c r="J20" s="75">
        <f>IFERROR(VLOOKUP(Table1[[#This Row],[Date]],Table3[[Date]:[Sunset Time (POA&lt;20 W/m2)]],4,0),"")</f>
        <v>0.7680555555555556</v>
      </c>
      <c r="K20" s="76">
        <f>IFERROR((Table1[[#This Row],[Sunset Time (POA&lt;20 W/m2)]]-Table1[[#This Row],[Sunrise Time (POA&gt;20 W/m2)]])*24,"")</f>
        <v>12.1</v>
      </c>
      <c r="L20" s="107" t="s">
        <v>231</v>
      </c>
      <c r="M20" s="90">
        <f>VLOOKUP(Table1[[#This Row],[Affceted Equipment]],'Basic Data'!$A$2:$C$818,2,0)</f>
        <v>669.6</v>
      </c>
      <c r="N20" s="92">
        <f>IFERROR(VLOOKUP(Table1[[#This Row],[Affceted Equipment]],'Basic Data'!$A$2:$C$818,3,0),"")</f>
        <v>8.348190352703562E-2</v>
      </c>
      <c r="O20" s="115" t="s">
        <v>323</v>
      </c>
      <c r="P20" s="93" t="s">
        <v>1088</v>
      </c>
      <c r="Q20" s="93"/>
      <c r="R20" s="93" t="s">
        <v>1088</v>
      </c>
      <c r="S20" s="91">
        <v>0.2638888888888889</v>
      </c>
      <c r="T20" s="116"/>
      <c r="U20" s="116"/>
      <c r="V20" s="91">
        <v>0.42986111111111114</v>
      </c>
      <c r="W20" s="88">
        <f>IF(Table1[[#This Row],[Acknowledgemnet Time ]]="NA","",(Table1[[#This Row],[Acknowledgemnet Time ]]-Table1[[#This Row],[Fault Time]])*24)</f>
        <v>-6.3333333333333339</v>
      </c>
      <c r="X20" s="88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89">
        <f>IFERROR(Table1[[#This Row],[Breakdown Time]]*Table1[[#This Row],[Plant Equivalent Weightage]],"")</f>
        <v>0.33253624904935858</v>
      </c>
      <c r="AD20" s="2">
        <v>1.2</v>
      </c>
      <c r="AE20" s="88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4">
        <f>YEAR(Table1[[#This Row],[Date]])+IF(MONTH(Table1[[#This Row],[Date]])&gt;=4,1,0)</f>
        <v>2025</v>
      </c>
      <c r="C21" s="73">
        <f>YEAR(Table1[[#This Row],[Date]])</f>
        <v>2025</v>
      </c>
      <c r="D21" s="73" t="s">
        <v>1082</v>
      </c>
      <c r="E21" s="73" t="s">
        <v>1082</v>
      </c>
      <c r="F21" s="170">
        <f>Table1[[#This Row],[Date]]-DAY(Table1[[#This Row],[Date]])+1</f>
        <v>45717</v>
      </c>
      <c r="G21">
        <f>DAY(EOMONTH(Table1[[#This Row],[Month Year]],0))</f>
        <v>31</v>
      </c>
      <c r="H21" s="103">
        <v>45746</v>
      </c>
      <c r="I21" s="75">
        <f>IFERROR(VLOOKUP(Table1[[#This Row],[Date]],Table3[[Date]:[Sunset Time (POA&lt;20 W/m2)]],3,0),"")</f>
        <v>0.2638888888888889</v>
      </c>
      <c r="J21" s="75">
        <f>IFERROR(VLOOKUP(Table1[[#This Row],[Date]],Table3[[Date]:[Sunset Time (POA&lt;20 W/m2)]],4,0),"")</f>
        <v>0.7680555555555556</v>
      </c>
      <c r="K21" s="76">
        <f>IFERROR((Table1[[#This Row],[Sunset Time (POA&lt;20 W/m2)]]-Table1[[#This Row],[Sunrise Time (POA&gt;20 W/m2)]])*24,"")</f>
        <v>12.1</v>
      </c>
      <c r="L21" s="107" t="s">
        <v>180</v>
      </c>
      <c r="M21" s="90">
        <f>VLOOKUP(Table1[[#This Row],[Affceted Equipment]],'Basic Data'!$A$2:$C$818,2,0)</f>
        <v>2694.6</v>
      </c>
      <c r="N21" s="92">
        <f>IFERROR(VLOOKUP(Table1[[#This Row],[Affceted Equipment]],'Basic Data'!$A$2:$C$818,3,0),"")</f>
        <v>0.33594733758057077</v>
      </c>
      <c r="O21" s="115" t="s">
        <v>323</v>
      </c>
      <c r="P21" s="93" t="s">
        <v>1085</v>
      </c>
      <c r="Q21" s="93"/>
      <c r="R21" s="93" t="s">
        <v>1089</v>
      </c>
      <c r="S21" s="91">
        <v>0.42986111111111114</v>
      </c>
      <c r="T21" s="116"/>
      <c r="U21" s="116"/>
      <c r="V21" s="91">
        <v>0.43472222222222223</v>
      </c>
      <c r="W21" s="88">
        <f>IF(Table1[[#This Row],[Acknowledgemnet Time ]]="NA","",(Table1[[#This Row],[Acknowledgemnet Time ]]-Table1[[#This Row],[Fault Time]])*24)</f>
        <v>-10.316666666666666</v>
      </c>
      <c r="X21" s="88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89">
        <f>IFERROR(Table1[[#This Row],[Breakdown Time]]*Table1[[#This Row],[Plant Equivalent Weightage]],"")</f>
        <v>3.9193856051066449E-2</v>
      </c>
      <c r="AD21" s="2">
        <v>0.09</v>
      </c>
      <c r="AE21" s="88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4">
        <f>YEAR(Table1[[#This Row],[Date]])+IF(MONTH(Table1[[#This Row],[Date]])&gt;=4,1,0)</f>
        <v>2025</v>
      </c>
      <c r="C22" s="73">
        <f>YEAR(Table1[[#This Row],[Date]])</f>
        <v>2025</v>
      </c>
      <c r="D22" s="73" t="s">
        <v>1082</v>
      </c>
      <c r="E22" s="73" t="s">
        <v>1082</v>
      </c>
      <c r="F22" s="170">
        <f>Table1[[#This Row],[Date]]-DAY(Table1[[#This Row],[Date]])+1</f>
        <v>45717</v>
      </c>
      <c r="G22">
        <f>DAY(EOMONTH(Table1[[#This Row],[Month Year]],0))</f>
        <v>31</v>
      </c>
      <c r="H22" s="103">
        <v>45746</v>
      </c>
      <c r="I22" s="75">
        <f>IFERROR(VLOOKUP(Table1[[#This Row],[Date]],Table3[[Date]:[Sunset Time (POA&lt;20 W/m2)]],3,0),"")</f>
        <v>0.2638888888888889</v>
      </c>
      <c r="J22" s="75">
        <f>IFERROR(VLOOKUP(Table1[[#This Row],[Date]],Table3[[Date]:[Sunset Time (POA&lt;20 W/m2)]],4,0),"")</f>
        <v>0.7680555555555556</v>
      </c>
      <c r="K22" s="76">
        <f>IFERROR((Table1[[#This Row],[Sunset Time (POA&lt;20 W/m2)]]-Table1[[#This Row],[Sunrise Time (POA&gt;20 W/m2)]])*24,"")</f>
        <v>12.1</v>
      </c>
      <c r="L22" s="107" t="s">
        <v>231</v>
      </c>
      <c r="M22" s="90">
        <f>VLOOKUP(Table1[[#This Row],[Affceted Equipment]],'Basic Data'!$A$2:$C$818,2,0)</f>
        <v>669.6</v>
      </c>
      <c r="N22" s="92">
        <f>IFERROR(VLOOKUP(Table1[[#This Row],[Affceted Equipment]],'Basic Data'!$A$2:$C$818,3,0),"")</f>
        <v>8.348190352703562E-2</v>
      </c>
      <c r="O22" s="115" t="s">
        <v>323</v>
      </c>
      <c r="P22" s="93" t="s">
        <v>1088</v>
      </c>
      <c r="Q22" s="93"/>
      <c r="R22" s="93" t="s">
        <v>1088</v>
      </c>
      <c r="S22" s="91">
        <v>0.43472222222222223</v>
      </c>
      <c r="T22" s="116"/>
      <c r="U22" s="116"/>
      <c r="V22" s="91">
        <v>0.44166666666666665</v>
      </c>
      <c r="W22" s="88">
        <f>IF(Table1[[#This Row],[Acknowledgemnet Time ]]="NA","",(Table1[[#This Row],[Acknowledgemnet Time ]]-Table1[[#This Row],[Fault Time]])*24)</f>
        <v>-10.433333333333334</v>
      </c>
      <c r="X22" s="88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89">
        <f>IFERROR(Table1[[#This Row],[Breakdown Time]]*Table1[[#This Row],[Plant Equivalent Weightage]],"")</f>
        <v>1.3913650587839221E-2</v>
      </c>
      <c r="AD22" s="2">
        <v>0.12</v>
      </c>
      <c r="AE22" s="88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4">
        <f>YEAR(Table1[[#This Row],[Date]])+IF(MONTH(Table1[[#This Row],[Date]])&gt;=4,1,0)</f>
        <v>2025</v>
      </c>
      <c r="C23" s="73">
        <f>YEAR(Table1[[#This Row],[Date]])</f>
        <v>2025</v>
      </c>
      <c r="D23" s="73" t="s">
        <v>1082</v>
      </c>
      <c r="E23" s="73" t="s">
        <v>1082</v>
      </c>
      <c r="F23" s="170">
        <f>Table1[[#This Row],[Date]]-DAY(Table1[[#This Row],[Date]])+1</f>
        <v>45717</v>
      </c>
      <c r="G23">
        <f>DAY(EOMONTH(Table1[[#This Row],[Month Year]],0))</f>
        <v>31</v>
      </c>
      <c r="H23" s="103">
        <v>45746</v>
      </c>
      <c r="I23" s="75">
        <f>IFERROR(VLOOKUP(Table1[[#This Row],[Date]],Table3[[Date]:[Sunset Time (POA&lt;20 W/m2)]],3,0),"")</f>
        <v>0.2638888888888889</v>
      </c>
      <c r="J23" s="75">
        <f>IFERROR(VLOOKUP(Table1[[#This Row],[Date]],Table3[[Date]:[Sunset Time (POA&lt;20 W/m2)]],4,0),"")</f>
        <v>0.7680555555555556</v>
      </c>
      <c r="K23" s="76">
        <f>IFERROR((Table1[[#This Row],[Sunset Time (POA&lt;20 W/m2)]]-Table1[[#This Row],[Sunrise Time (POA&gt;20 W/m2)]])*24,"")</f>
        <v>12.1</v>
      </c>
      <c r="L23" s="107" t="s">
        <v>232</v>
      </c>
      <c r="M23" s="90">
        <f>VLOOKUP(Table1[[#This Row],[Affceted Equipment]],'Basic Data'!$A$2:$C$818,2,0)</f>
        <v>669.6</v>
      </c>
      <c r="N23" s="92">
        <f>IFERROR(VLOOKUP(Table1[[#This Row],[Affceted Equipment]],'Basic Data'!$A$2:$C$818,3,0),"")</f>
        <v>8.348190352703562E-2</v>
      </c>
      <c r="O23" s="115" t="s">
        <v>323</v>
      </c>
      <c r="P23" s="93" t="s">
        <v>1090</v>
      </c>
      <c r="Q23" s="93"/>
      <c r="R23" s="93" t="s">
        <v>1090</v>
      </c>
      <c r="S23" s="91">
        <v>0.43472222222222223</v>
      </c>
      <c r="T23" s="116"/>
      <c r="U23" s="116"/>
      <c r="V23" s="91">
        <v>0.44166666666666665</v>
      </c>
      <c r="W23" s="88">
        <f>IF(Table1[[#This Row],[Acknowledgemnet Time ]]="NA","",(Table1[[#This Row],[Acknowledgemnet Time ]]-Table1[[#This Row],[Fault Time]])*24)</f>
        <v>-10.433333333333334</v>
      </c>
      <c r="X23" s="88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89">
        <f>IFERROR(Table1[[#This Row],[Breakdown Time]]*Table1[[#This Row],[Plant Equivalent Weightage]],"")</f>
        <v>1.3913650587839221E-2</v>
      </c>
      <c r="AD23" s="2">
        <v>0.12</v>
      </c>
      <c r="AE23" s="88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4">
        <f>YEAR(Table1[[#This Row],[Date]])+IF(MONTH(Table1[[#This Row],[Date]])&gt;=4,1,0)</f>
        <v>2025</v>
      </c>
      <c r="C24" s="73">
        <f>YEAR(Table1[[#This Row],[Date]])</f>
        <v>2025</v>
      </c>
      <c r="D24" s="73" t="s">
        <v>1082</v>
      </c>
      <c r="E24" s="73" t="s">
        <v>1082</v>
      </c>
      <c r="F24" s="170">
        <f>Table1[[#This Row],[Date]]-DAY(Table1[[#This Row],[Date]])+1</f>
        <v>45717</v>
      </c>
      <c r="G24">
        <f>DAY(EOMONTH(Table1[[#This Row],[Month Year]],0))</f>
        <v>31</v>
      </c>
      <c r="H24" s="103">
        <v>45746</v>
      </c>
      <c r="I24" s="75">
        <f>IFERROR(VLOOKUP(Table1[[#This Row],[Date]],Table3[[Date]:[Sunset Time (POA&lt;20 W/m2)]],3,0),"")</f>
        <v>0.2638888888888889</v>
      </c>
      <c r="J24" s="75">
        <f>IFERROR(VLOOKUP(Table1[[#This Row],[Date]],Table3[[Date]:[Sunset Time (POA&lt;20 W/m2)]],4,0),"")</f>
        <v>0.7680555555555556</v>
      </c>
      <c r="K24" s="76">
        <f>IFERROR((Table1[[#This Row],[Sunset Time (POA&lt;20 W/m2)]]-Table1[[#This Row],[Sunrise Time (POA&gt;20 W/m2)]])*24,"")</f>
        <v>12.1</v>
      </c>
      <c r="L24" s="107" t="s">
        <v>180</v>
      </c>
      <c r="M24" s="90">
        <f>VLOOKUP(Table1[[#This Row],[Affceted Equipment]],'Basic Data'!$A$2:$C$818,2,0)</f>
        <v>2694.6</v>
      </c>
      <c r="N24" s="92">
        <f>IFERROR(VLOOKUP(Table1[[#This Row],[Affceted Equipment]],'Basic Data'!$A$2:$C$818,3,0),"")</f>
        <v>0.33594733758057077</v>
      </c>
      <c r="O24" s="115" t="s">
        <v>323</v>
      </c>
      <c r="P24" s="93" t="s">
        <v>1085</v>
      </c>
      <c r="Q24" s="93"/>
      <c r="R24" s="93" t="s">
        <v>1089</v>
      </c>
      <c r="S24" s="91">
        <v>0.44166666666666665</v>
      </c>
      <c r="T24" s="116"/>
      <c r="U24" s="116"/>
      <c r="V24" s="91">
        <v>0.44722222222222224</v>
      </c>
      <c r="W24" s="88">
        <f>IF(Table1[[#This Row],[Acknowledgemnet Time ]]="NA","",(Table1[[#This Row],[Acknowledgemnet Time ]]-Table1[[#This Row],[Fault Time]])*24)</f>
        <v>-10.6</v>
      </c>
      <c r="X24" s="88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89">
        <f>IFERROR(Table1[[#This Row],[Breakdown Time]]*Table1[[#This Row],[Plant Equivalent Weightage]],"")</f>
        <v>4.479297834407639E-2</v>
      </c>
      <c r="AD24" s="2">
        <v>0.11</v>
      </c>
      <c r="AE24" s="88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4">
        <f>YEAR(Table1[[#This Row],[Date]])+IF(MONTH(Table1[[#This Row],[Date]])&gt;=4,1,0)</f>
        <v>2025</v>
      </c>
      <c r="C25" s="73">
        <f>YEAR(Table1[[#This Row],[Date]])</f>
        <v>2025</v>
      </c>
      <c r="D25" s="73" t="s">
        <v>1082</v>
      </c>
      <c r="E25" s="73" t="s">
        <v>1082</v>
      </c>
      <c r="F25" s="170">
        <f>Table1[[#This Row],[Date]]-DAY(Table1[[#This Row],[Date]])+1</f>
        <v>45717</v>
      </c>
      <c r="G25">
        <f>DAY(EOMONTH(Table1[[#This Row],[Month Year]],0))</f>
        <v>31</v>
      </c>
      <c r="H25" s="103">
        <v>45746</v>
      </c>
      <c r="I25" s="75">
        <f>IFERROR(VLOOKUP(Table1[[#This Row],[Date]],Table3[[Date]:[Sunset Time (POA&lt;20 W/m2)]],3,0),"")</f>
        <v>0.2638888888888889</v>
      </c>
      <c r="J25" s="75">
        <f>IFERROR(VLOOKUP(Table1[[#This Row],[Date]],Table3[[Date]:[Sunset Time (POA&lt;20 W/m2)]],4,0),"")</f>
        <v>0.7680555555555556</v>
      </c>
      <c r="K25" s="76">
        <f>IFERROR((Table1[[#This Row],[Sunset Time (POA&lt;20 W/m2)]]-Table1[[#This Row],[Sunrise Time (POA&gt;20 W/m2)]])*24,"")</f>
        <v>12.1</v>
      </c>
      <c r="L25" s="107" t="s">
        <v>231</v>
      </c>
      <c r="M25" s="90">
        <f>VLOOKUP(Table1[[#This Row],[Affceted Equipment]],'Basic Data'!$A$2:$C$818,2,0)</f>
        <v>669.6</v>
      </c>
      <c r="N25" s="92">
        <f>IFERROR(VLOOKUP(Table1[[#This Row],[Affceted Equipment]],'Basic Data'!$A$2:$C$818,3,0),"")</f>
        <v>8.348190352703562E-2</v>
      </c>
      <c r="O25" s="115" t="s">
        <v>323</v>
      </c>
      <c r="P25" s="93" t="s">
        <v>1088</v>
      </c>
      <c r="Q25" s="93"/>
      <c r="R25" s="93" t="s">
        <v>1088</v>
      </c>
      <c r="S25" s="91">
        <v>0.44722222222222224</v>
      </c>
      <c r="T25" s="116"/>
      <c r="U25" s="116"/>
      <c r="V25" s="91">
        <v>0.6875</v>
      </c>
      <c r="W25" s="88">
        <f>IF(Table1[[#This Row],[Acknowledgemnet Time ]]="NA","",(Table1[[#This Row],[Acknowledgemnet Time ]]-Table1[[#This Row],[Fault Time]])*24)</f>
        <v>-10.733333333333334</v>
      </c>
      <c r="X25" s="88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89">
        <f>IFERROR(Table1[[#This Row],[Breakdown Time]]*Table1[[#This Row],[Plant Equivalent Weightage]],"")</f>
        <v>0.48141231033923865</v>
      </c>
      <c r="AD25" s="2">
        <v>4.24</v>
      </c>
      <c r="AE25" s="88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4">
        <f>YEAR(Table1[[#This Row],[Date]])+IF(MONTH(Table1[[#This Row],[Date]])&gt;=4,1,0)</f>
        <v>2025</v>
      </c>
      <c r="C26" s="73">
        <f>YEAR(Table1[[#This Row],[Date]])</f>
        <v>2025</v>
      </c>
      <c r="D26" s="73" t="s">
        <v>1082</v>
      </c>
      <c r="E26" s="73" t="s">
        <v>1082</v>
      </c>
      <c r="F26" s="170">
        <f>Table1[[#This Row],[Date]]-DAY(Table1[[#This Row],[Date]])+1</f>
        <v>45717</v>
      </c>
      <c r="G26">
        <f>DAY(EOMONTH(Table1[[#This Row],[Month Year]],0))</f>
        <v>31</v>
      </c>
      <c r="H26" s="103">
        <v>45746</v>
      </c>
      <c r="I26" s="75">
        <f>IFERROR(VLOOKUP(Table1[[#This Row],[Date]],Table3[[Date]:[Sunset Time (POA&lt;20 W/m2)]],3,0),"")</f>
        <v>0.2638888888888889</v>
      </c>
      <c r="J26" s="75">
        <f>IFERROR(VLOOKUP(Table1[[#This Row],[Date]],Table3[[Date]:[Sunset Time (POA&lt;20 W/m2)]],4,0),"")</f>
        <v>0.7680555555555556</v>
      </c>
      <c r="K26" s="76">
        <f>IFERROR((Table1[[#This Row],[Sunset Time (POA&lt;20 W/m2)]]-Table1[[#This Row],[Sunrise Time (POA&gt;20 W/m2)]])*24,"")</f>
        <v>12.1</v>
      </c>
      <c r="L26" s="107" t="s">
        <v>232</v>
      </c>
      <c r="M26" s="90">
        <f>VLOOKUP(Table1[[#This Row],[Affceted Equipment]],'Basic Data'!$A$2:$C$818,2,0)</f>
        <v>669.6</v>
      </c>
      <c r="N26" s="92">
        <f>IFERROR(VLOOKUP(Table1[[#This Row],[Affceted Equipment]],'Basic Data'!$A$2:$C$818,3,0),"")</f>
        <v>8.348190352703562E-2</v>
      </c>
      <c r="O26" s="115" t="s">
        <v>323</v>
      </c>
      <c r="P26" s="93" t="s">
        <v>1090</v>
      </c>
      <c r="Q26" s="93"/>
      <c r="R26" s="93" t="s">
        <v>1090</v>
      </c>
      <c r="S26" s="91">
        <v>0.44722222222222224</v>
      </c>
      <c r="T26" s="116"/>
      <c r="U26" s="116"/>
      <c r="V26" s="91">
        <v>0.6875</v>
      </c>
      <c r="W26" s="88">
        <f>IF(Table1[[#This Row],[Acknowledgemnet Time ]]="NA","",(Table1[[#This Row],[Acknowledgemnet Time ]]-Table1[[#This Row],[Fault Time]])*24)</f>
        <v>-10.733333333333334</v>
      </c>
      <c r="X26" s="88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89">
        <f>IFERROR(Table1[[#This Row],[Breakdown Time]]*Table1[[#This Row],[Plant Equivalent Weightage]],"")</f>
        <v>0.48141231033923865</v>
      </c>
      <c r="AD26" s="2">
        <v>4.24</v>
      </c>
      <c r="AE26" s="88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4">
        <f>YEAR(Table1[[#This Row],[Date]])+IF(MONTH(Table1[[#This Row],[Date]])&gt;=4,1,0)</f>
        <v>2025</v>
      </c>
      <c r="C27" s="73">
        <f>YEAR(Table1[[#This Row],[Date]])</f>
        <v>2025</v>
      </c>
      <c r="D27" s="73" t="s">
        <v>1082</v>
      </c>
      <c r="E27" s="73" t="s">
        <v>1082</v>
      </c>
      <c r="F27" s="170">
        <f>Table1[[#This Row],[Date]]-DAY(Table1[[#This Row],[Date]])+1</f>
        <v>45717</v>
      </c>
      <c r="G27">
        <f>DAY(EOMONTH(Table1[[#This Row],[Month Year]],0))</f>
        <v>31</v>
      </c>
      <c r="H27" s="103">
        <v>45746</v>
      </c>
      <c r="I27" s="75">
        <f>IFERROR(VLOOKUP(Table1[[#This Row],[Date]],Table3[[Date]:[Sunset Time (POA&lt;20 W/m2)]],3,0),"")</f>
        <v>0.2638888888888889</v>
      </c>
      <c r="J27" s="75">
        <f>IFERROR(VLOOKUP(Table1[[#This Row],[Date]],Table3[[Date]:[Sunset Time (POA&lt;20 W/m2)]],4,0),"")</f>
        <v>0.7680555555555556</v>
      </c>
      <c r="K27" s="76">
        <f>IFERROR((Table1[[#This Row],[Sunset Time (POA&lt;20 W/m2)]]-Table1[[#This Row],[Sunrise Time (POA&gt;20 W/m2)]])*24,"")</f>
        <v>12.1</v>
      </c>
      <c r="L27" s="107" t="s">
        <v>180</v>
      </c>
      <c r="M27" s="90">
        <f>VLOOKUP(Table1[[#This Row],[Affceted Equipment]],'Basic Data'!$A$2:$C$818,2,0)</f>
        <v>2694.6</v>
      </c>
      <c r="N27" s="92">
        <f>IFERROR(VLOOKUP(Table1[[#This Row],[Affceted Equipment]],'Basic Data'!$A$2:$C$818,3,0),"")</f>
        <v>0.33594733758057077</v>
      </c>
      <c r="O27" s="115" t="s">
        <v>323</v>
      </c>
      <c r="P27" s="93" t="s">
        <v>1091</v>
      </c>
      <c r="Q27" s="93"/>
      <c r="R27" s="93" t="s">
        <v>1091</v>
      </c>
      <c r="S27" s="91">
        <v>0.6875</v>
      </c>
      <c r="T27" s="116"/>
      <c r="U27" s="116"/>
      <c r="V27" s="91">
        <v>0.69027777777777777</v>
      </c>
      <c r="W27" s="88">
        <f>IF(Table1[[#This Row],[Acknowledgemnet Time ]]="NA","",(Table1[[#This Row],[Acknowledgemnet Time ]]-Table1[[#This Row],[Fault Time]])*24)</f>
        <v>-16.5</v>
      </c>
      <c r="X27" s="88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89">
        <f>IFERROR(Table1[[#This Row],[Breakdown Time]]*Table1[[#This Row],[Plant Equivalent Weightage]],"")</f>
        <v>2.2396489172037973E-2</v>
      </c>
      <c r="AD27" s="2">
        <v>0.01</v>
      </c>
      <c r="AE27" s="88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4">
        <f>YEAR(Table1[[#This Row],[Date]])+IF(MONTH(Table1[[#This Row],[Date]])&gt;=4,1,0)</f>
        <v>2025</v>
      </c>
      <c r="C28" s="73">
        <f>YEAR(Table1[[#This Row],[Date]])</f>
        <v>2025</v>
      </c>
      <c r="D28" s="73" t="s">
        <v>1082</v>
      </c>
      <c r="E28" s="73" t="s">
        <v>1082</v>
      </c>
      <c r="F28" s="170">
        <f>Table1[[#This Row],[Date]]-DAY(Table1[[#This Row],[Date]])+1</f>
        <v>45717</v>
      </c>
      <c r="G28">
        <f>DAY(EOMONTH(Table1[[#This Row],[Month Year]],0))</f>
        <v>31</v>
      </c>
      <c r="H28" s="103">
        <v>45746</v>
      </c>
      <c r="I28" s="75">
        <f>IFERROR(VLOOKUP(Table1[[#This Row],[Date]],Table3[[Date]:[Sunset Time (POA&lt;20 W/m2)]],3,0),"")</f>
        <v>0.2638888888888889</v>
      </c>
      <c r="J28" s="75">
        <f>IFERROR(VLOOKUP(Table1[[#This Row],[Date]],Table3[[Date]:[Sunset Time (POA&lt;20 W/m2)]],4,0),"")</f>
        <v>0.7680555555555556</v>
      </c>
      <c r="K28" s="76">
        <f>IFERROR((Table1[[#This Row],[Sunset Time (POA&lt;20 W/m2)]]-Table1[[#This Row],[Sunrise Time (POA&gt;20 W/m2)]])*24,"")</f>
        <v>12.1</v>
      </c>
      <c r="L28" s="107" t="s">
        <v>231</v>
      </c>
      <c r="M28" s="90">
        <f>VLOOKUP(Table1[[#This Row],[Affceted Equipment]],'Basic Data'!$A$2:$C$818,2,0)</f>
        <v>669.6</v>
      </c>
      <c r="N28" s="92">
        <f>IFERROR(VLOOKUP(Table1[[#This Row],[Affceted Equipment]],'Basic Data'!$A$2:$C$818,3,0),"")</f>
        <v>8.348190352703562E-2</v>
      </c>
      <c r="O28" s="115" t="s">
        <v>323</v>
      </c>
      <c r="P28" s="93" t="s">
        <v>1088</v>
      </c>
      <c r="Q28" s="93"/>
      <c r="R28" s="93" t="s">
        <v>1088</v>
      </c>
      <c r="S28" s="91">
        <v>0.69027777777777777</v>
      </c>
      <c r="T28" s="116"/>
      <c r="U28" s="116"/>
      <c r="V28" s="91">
        <v>0.7680555555555556</v>
      </c>
      <c r="W28" s="88">
        <f>IF(Table1[[#This Row],[Acknowledgemnet Time ]]="NA","",(Table1[[#This Row],[Acknowledgemnet Time ]]-Table1[[#This Row],[Fault Time]])*24)</f>
        <v>-16.566666666666666</v>
      </c>
      <c r="X28" s="88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89">
        <f>IFERROR(Table1[[#This Row],[Breakdown Time]]*Table1[[#This Row],[Plant Equivalent Weightage]],"")</f>
        <v>0.15583288658379993</v>
      </c>
      <c r="AD28" s="2">
        <v>0.21</v>
      </c>
      <c r="AE28" s="88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4">
        <f>YEAR(Table1[[#This Row],[Date]])+IF(MONTH(Table1[[#This Row],[Date]])&gt;=4,1,0)</f>
        <v>2025</v>
      </c>
      <c r="C29" s="73">
        <f>YEAR(Table1[[#This Row],[Date]])</f>
        <v>2025</v>
      </c>
      <c r="D29" s="73" t="s">
        <v>1082</v>
      </c>
      <c r="E29" s="73" t="s">
        <v>1082</v>
      </c>
      <c r="F29" s="170">
        <f>Table1[[#This Row],[Date]]-DAY(Table1[[#This Row],[Date]])+1</f>
        <v>45717</v>
      </c>
      <c r="G29">
        <f>DAY(EOMONTH(Table1[[#This Row],[Month Year]],0))</f>
        <v>31</v>
      </c>
      <c r="H29" s="103">
        <v>45747</v>
      </c>
      <c r="I29" s="75">
        <f>IFERROR(VLOOKUP(Table1[[#This Row],[Date]],Table3[[Date]:[Sunset Time (POA&lt;20 W/m2)]],3,0),"")</f>
        <v>0.2638888888888889</v>
      </c>
      <c r="J29" s="75">
        <f>IFERROR(VLOOKUP(Table1[[#This Row],[Date]],Table3[[Date]:[Sunset Time (POA&lt;20 W/m2)]],4,0),"")</f>
        <v>0.77013888888888893</v>
      </c>
      <c r="K29" s="76">
        <f>IFERROR((Table1[[#This Row],[Sunset Time (POA&lt;20 W/m2)]]-Table1[[#This Row],[Sunrise Time (POA&gt;20 W/m2)]])*24,"")</f>
        <v>12.150000000000002</v>
      </c>
      <c r="L29" s="107" t="s">
        <v>238</v>
      </c>
      <c r="M29" s="90">
        <f>VLOOKUP(Table1[[#This Row],[Affceted Equipment]],'Basic Data'!$A$2:$C$818,2,0)</f>
        <v>658.8</v>
      </c>
      <c r="N29" s="92">
        <f>IFERROR(VLOOKUP(Table1[[#This Row],[Affceted Equipment]],'Basic Data'!$A$2:$C$818,3,0),"")</f>
        <v>8.2135421212083434E-2</v>
      </c>
      <c r="O29" s="115" t="s">
        <v>323</v>
      </c>
      <c r="P29" s="93" t="s">
        <v>1087</v>
      </c>
      <c r="Q29" s="93"/>
      <c r="R29" s="93" t="s">
        <v>1087</v>
      </c>
      <c r="S29" s="91">
        <v>0.2638888888888889</v>
      </c>
      <c r="T29" s="116"/>
      <c r="U29" s="116"/>
      <c r="V29" s="91">
        <v>0.77013888888888893</v>
      </c>
      <c r="W29" s="88">
        <f>IF(Table1[[#This Row],[Acknowledgemnet Time ]]="NA","",(Table1[[#This Row],[Acknowledgemnet Time ]]-Table1[[#This Row],[Fault Time]])*24)</f>
        <v>-6.3333333333333339</v>
      </c>
      <c r="X29" s="88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89">
        <f>IFERROR(Table1[[#This Row],[Breakdown Time]]*Table1[[#This Row],[Plant Equivalent Weightage]],"")</f>
        <v>0.99794536772681386</v>
      </c>
      <c r="AD29" s="2">
        <v>5.99</v>
      </c>
      <c r="AE29" s="88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4">
        <f>YEAR(Table1[[#This Row],[Date]])+IF(MONTH(Table1[[#This Row],[Date]])&gt;=4,1,0)</f>
        <v>2025</v>
      </c>
      <c r="C30" s="73">
        <f>YEAR(Table1[[#This Row],[Date]])</f>
        <v>2025</v>
      </c>
      <c r="D30" s="73" t="s">
        <v>1082</v>
      </c>
      <c r="E30" s="73" t="s">
        <v>1082</v>
      </c>
      <c r="F30" s="170">
        <f>Table1[[#This Row],[Date]]-DAY(Table1[[#This Row],[Date]])+1</f>
        <v>45717</v>
      </c>
      <c r="G30">
        <f>DAY(EOMONTH(Table1[[#This Row],[Month Year]],0))</f>
        <v>31</v>
      </c>
      <c r="H30" s="103">
        <v>45747</v>
      </c>
      <c r="I30" s="75">
        <f>IFERROR(VLOOKUP(Table1[[#This Row],[Date]],Table3[[Date]:[Sunset Time (POA&lt;20 W/m2)]],3,0),"")</f>
        <v>0.2638888888888889</v>
      </c>
      <c r="J30" s="75">
        <f>IFERROR(VLOOKUP(Table1[[#This Row],[Date]],Table3[[Date]:[Sunset Time (POA&lt;20 W/m2)]],4,0),"")</f>
        <v>0.77013888888888893</v>
      </c>
      <c r="K30" s="76">
        <f>IFERROR((Table1[[#This Row],[Sunset Time (POA&lt;20 W/m2)]]-Table1[[#This Row],[Sunrise Time (POA&gt;20 W/m2)]])*24,"")</f>
        <v>12.150000000000002</v>
      </c>
      <c r="L30" s="107" t="s">
        <v>231</v>
      </c>
      <c r="M30" s="90">
        <f>VLOOKUP(Table1[[#This Row],[Affceted Equipment]],'Basic Data'!$A$2:$C$818,2,0)</f>
        <v>669.6</v>
      </c>
      <c r="N30" s="92">
        <f>IFERROR(VLOOKUP(Table1[[#This Row],[Affceted Equipment]],'Basic Data'!$A$2:$C$818,3,0),"")</f>
        <v>8.348190352703562E-2</v>
      </c>
      <c r="O30" s="115" t="s">
        <v>323</v>
      </c>
      <c r="P30" s="93" t="s">
        <v>1088</v>
      </c>
      <c r="Q30" s="93"/>
      <c r="R30" s="93" t="s">
        <v>1088</v>
      </c>
      <c r="S30" s="91">
        <v>0.2638888888888889</v>
      </c>
      <c r="T30" s="116"/>
      <c r="U30" s="116"/>
      <c r="V30" s="91">
        <v>0.43541666666666667</v>
      </c>
      <c r="W30" s="88">
        <f>IF(Table1[[#This Row],[Acknowledgemnet Time ]]="NA","",(Table1[[#This Row],[Acknowledgemnet Time ]]-Table1[[#This Row],[Fault Time]])*24)</f>
        <v>-6.3333333333333339</v>
      </c>
      <c r="X30" s="88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89">
        <f>IFERROR(Table1[[#This Row],[Breakdown Time]]*Table1[[#This Row],[Plant Equivalent Weightage]],"")</f>
        <v>0.34366716951963</v>
      </c>
      <c r="AD30" s="2">
        <v>1.28</v>
      </c>
      <c r="AE30" s="88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4">
        <f>YEAR(Table1[[#This Row],[Date]])+IF(MONTH(Table1[[#This Row],[Date]])&gt;=4,1,0)</f>
        <v>2025</v>
      </c>
      <c r="C31" s="73">
        <f>YEAR(Table1[[#This Row],[Date]])</f>
        <v>2025</v>
      </c>
      <c r="D31" s="73" t="s">
        <v>1082</v>
      </c>
      <c r="E31" s="73" t="s">
        <v>1082</v>
      </c>
      <c r="F31" s="170">
        <f>Table1[[#This Row],[Date]]-DAY(Table1[[#This Row],[Date]])+1</f>
        <v>45717</v>
      </c>
      <c r="G31">
        <f>DAY(EOMONTH(Table1[[#This Row],[Month Year]],0))</f>
        <v>31</v>
      </c>
      <c r="H31" s="103">
        <v>45747</v>
      </c>
      <c r="I31" s="75">
        <f>IFERROR(VLOOKUP(Table1[[#This Row],[Date]],Table3[[Date]:[Sunset Time (POA&lt;20 W/m2)]],3,0),"")</f>
        <v>0.2638888888888889</v>
      </c>
      <c r="J31" s="75">
        <f>IFERROR(VLOOKUP(Table1[[#This Row],[Date]],Table3[[Date]:[Sunset Time (POA&lt;20 W/m2)]],4,0),"")</f>
        <v>0.77013888888888893</v>
      </c>
      <c r="K31" s="76">
        <f>IFERROR((Table1[[#This Row],[Sunset Time (POA&lt;20 W/m2)]]-Table1[[#This Row],[Sunrise Time (POA&gt;20 W/m2)]])*24,"")</f>
        <v>12.150000000000002</v>
      </c>
      <c r="L31" s="107" t="s">
        <v>180</v>
      </c>
      <c r="M31" s="90">
        <f>VLOOKUP(Table1[[#This Row],[Affceted Equipment]],'Basic Data'!$A$2:$C$818,2,0)</f>
        <v>2694.6</v>
      </c>
      <c r="N31" s="92">
        <f>IFERROR(VLOOKUP(Table1[[#This Row],[Affceted Equipment]],'Basic Data'!$A$2:$C$818,3,0),"")</f>
        <v>0.33594733758057077</v>
      </c>
      <c r="O31" s="115" t="s">
        <v>323</v>
      </c>
      <c r="P31" s="93" t="s">
        <v>1085</v>
      </c>
      <c r="Q31" s="93"/>
      <c r="R31" s="93" t="s">
        <v>1089</v>
      </c>
      <c r="S31" s="91">
        <v>0.43541666666666667</v>
      </c>
      <c r="T31" s="116"/>
      <c r="U31" s="116"/>
      <c r="V31" s="91">
        <v>0.43888888888888888</v>
      </c>
      <c r="W31" s="88">
        <f>IF(Table1[[#This Row],[Acknowledgemnet Time ]]="NA","",(Table1[[#This Row],[Acknowledgemnet Time ]]-Table1[[#This Row],[Fault Time]])*24)</f>
        <v>-10.45</v>
      </c>
      <c r="X31" s="88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89">
        <f>IFERROR(Table1[[#This Row],[Breakdown Time]]*Table1[[#This Row],[Plant Equivalent Weightage]],"")</f>
        <v>2.7995611465047466E-2</v>
      </c>
      <c r="AD31" s="2">
        <v>0.06</v>
      </c>
      <c r="AE31" s="88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4">
        <f>YEAR(Table1[[#This Row],[Date]])+IF(MONTH(Table1[[#This Row],[Date]])&gt;=4,1,0)</f>
        <v>2025</v>
      </c>
      <c r="C32" s="73">
        <f>YEAR(Table1[[#This Row],[Date]])</f>
        <v>2025</v>
      </c>
      <c r="D32" s="73" t="s">
        <v>1082</v>
      </c>
      <c r="E32" s="73" t="s">
        <v>1082</v>
      </c>
      <c r="F32" s="170">
        <f>Table1[[#This Row],[Date]]-DAY(Table1[[#This Row],[Date]])+1</f>
        <v>45717</v>
      </c>
      <c r="G32">
        <f>DAY(EOMONTH(Table1[[#This Row],[Month Year]],0))</f>
        <v>31</v>
      </c>
      <c r="H32" s="103">
        <v>45747</v>
      </c>
      <c r="I32" s="75">
        <f>IFERROR(VLOOKUP(Table1[[#This Row],[Date]],Table3[[Date]:[Sunset Time (POA&lt;20 W/m2)]],3,0),"")</f>
        <v>0.2638888888888889</v>
      </c>
      <c r="J32" s="75">
        <f>IFERROR(VLOOKUP(Table1[[#This Row],[Date]],Table3[[Date]:[Sunset Time (POA&lt;20 W/m2)]],4,0),"")</f>
        <v>0.77013888888888893</v>
      </c>
      <c r="K32" s="76">
        <f>IFERROR((Table1[[#This Row],[Sunset Time (POA&lt;20 W/m2)]]-Table1[[#This Row],[Sunrise Time (POA&gt;20 W/m2)]])*24,"")</f>
        <v>12.150000000000002</v>
      </c>
      <c r="L32" s="107" t="s">
        <v>231</v>
      </c>
      <c r="M32" s="90">
        <f>VLOOKUP(Table1[[#This Row],[Affceted Equipment]],'Basic Data'!$A$2:$C$818,2,0)</f>
        <v>669.6</v>
      </c>
      <c r="N32" s="92">
        <f>IFERROR(VLOOKUP(Table1[[#This Row],[Affceted Equipment]],'Basic Data'!$A$2:$C$818,3,0),"")</f>
        <v>8.348190352703562E-2</v>
      </c>
      <c r="O32" s="115" t="s">
        <v>323</v>
      </c>
      <c r="P32" s="93" t="s">
        <v>1088</v>
      </c>
      <c r="Q32" s="93"/>
      <c r="R32" s="93" t="s">
        <v>1088</v>
      </c>
      <c r="S32" s="91">
        <v>0.43888888888888888</v>
      </c>
      <c r="T32" s="116"/>
      <c r="U32" s="116"/>
      <c r="V32" s="91">
        <v>0.4465277777777778</v>
      </c>
      <c r="W32" s="88">
        <f>IF(Table1[[#This Row],[Acknowledgemnet Time ]]="NA","",(Table1[[#This Row],[Acknowledgemnet Time ]]-Table1[[#This Row],[Fault Time]])*24)</f>
        <v>-10.533333333333333</v>
      </c>
      <c r="X32" s="88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89">
        <f>IFERROR(Table1[[#This Row],[Breakdown Time]]*Table1[[#This Row],[Plant Equivalent Weightage]],"")</f>
        <v>1.5305015646623253E-2</v>
      </c>
      <c r="AD32" s="2">
        <v>0.14000000000000001</v>
      </c>
      <c r="AE32" s="88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4">
        <f>YEAR(Table1[[#This Row],[Date]])+IF(MONTH(Table1[[#This Row],[Date]])&gt;=4,1,0)</f>
        <v>2025</v>
      </c>
      <c r="C33" s="73">
        <f>YEAR(Table1[[#This Row],[Date]])</f>
        <v>2025</v>
      </c>
      <c r="D33" s="73" t="s">
        <v>1082</v>
      </c>
      <c r="E33" s="73" t="s">
        <v>1082</v>
      </c>
      <c r="F33" s="170">
        <f>Table1[[#This Row],[Date]]-DAY(Table1[[#This Row],[Date]])+1</f>
        <v>45717</v>
      </c>
      <c r="G33">
        <f>DAY(EOMONTH(Table1[[#This Row],[Month Year]],0))</f>
        <v>31</v>
      </c>
      <c r="H33" s="103">
        <v>45747</v>
      </c>
      <c r="I33" s="75">
        <f>IFERROR(VLOOKUP(Table1[[#This Row],[Date]],Table3[[Date]:[Sunset Time (POA&lt;20 W/m2)]],3,0),"")</f>
        <v>0.2638888888888889</v>
      </c>
      <c r="J33" s="75">
        <f>IFERROR(VLOOKUP(Table1[[#This Row],[Date]],Table3[[Date]:[Sunset Time (POA&lt;20 W/m2)]],4,0),"")</f>
        <v>0.77013888888888893</v>
      </c>
      <c r="K33" s="76">
        <f>IFERROR((Table1[[#This Row],[Sunset Time (POA&lt;20 W/m2)]]-Table1[[#This Row],[Sunrise Time (POA&gt;20 W/m2)]])*24,"")</f>
        <v>12.150000000000002</v>
      </c>
      <c r="L33" s="107" t="s">
        <v>232</v>
      </c>
      <c r="M33" s="90">
        <f>VLOOKUP(Table1[[#This Row],[Affceted Equipment]],'Basic Data'!$A$2:$C$818,2,0)</f>
        <v>669.6</v>
      </c>
      <c r="N33" s="92">
        <f>IFERROR(VLOOKUP(Table1[[#This Row],[Affceted Equipment]],'Basic Data'!$A$2:$C$818,3,0),"")</f>
        <v>8.348190352703562E-2</v>
      </c>
      <c r="O33" s="115" t="s">
        <v>323</v>
      </c>
      <c r="P33" s="93" t="s">
        <v>1090</v>
      </c>
      <c r="Q33" s="93"/>
      <c r="R33" s="93" t="s">
        <v>1090</v>
      </c>
      <c r="S33" s="91">
        <v>0.43888888888888888</v>
      </c>
      <c r="T33" s="116"/>
      <c r="U33" s="116"/>
      <c r="V33" s="91">
        <v>0.4465277777777778</v>
      </c>
      <c r="W33" s="88">
        <f>IF(Table1[[#This Row],[Acknowledgemnet Time ]]="NA","",(Table1[[#This Row],[Acknowledgemnet Time ]]-Table1[[#This Row],[Fault Time]])*24)</f>
        <v>-10.533333333333333</v>
      </c>
      <c r="X33" s="88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89">
        <f>IFERROR(Table1[[#This Row],[Breakdown Time]]*Table1[[#This Row],[Plant Equivalent Weightage]],"")</f>
        <v>1.5305015646623253E-2</v>
      </c>
      <c r="AD33" s="2">
        <v>0.14000000000000001</v>
      </c>
      <c r="AE33" s="88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4">
        <f>YEAR(Table1[[#This Row],[Date]])+IF(MONTH(Table1[[#This Row],[Date]])&gt;=4,1,0)</f>
        <v>2025</v>
      </c>
      <c r="C34" s="73">
        <f>YEAR(Table1[[#This Row],[Date]])</f>
        <v>2025</v>
      </c>
      <c r="D34" s="73" t="s">
        <v>1082</v>
      </c>
      <c r="E34" s="73" t="s">
        <v>1082</v>
      </c>
      <c r="F34" s="170">
        <f>Table1[[#This Row],[Date]]-DAY(Table1[[#This Row],[Date]])+1</f>
        <v>45717</v>
      </c>
      <c r="G34">
        <f>DAY(EOMONTH(Table1[[#This Row],[Month Year]],0))</f>
        <v>31</v>
      </c>
      <c r="H34" s="103">
        <v>45747</v>
      </c>
      <c r="I34" s="75">
        <f>IFERROR(VLOOKUP(Table1[[#This Row],[Date]],Table3[[Date]:[Sunset Time (POA&lt;20 W/m2)]],3,0),"")</f>
        <v>0.2638888888888889</v>
      </c>
      <c r="J34" s="75">
        <f>IFERROR(VLOOKUP(Table1[[#This Row],[Date]],Table3[[Date]:[Sunset Time (POA&lt;20 W/m2)]],4,0),"")</f>
        <v>0.77013888888888893</v>
      </c>
      <c r="K34" s="76">
        <f>IFERROR((Table1[[#This Row],[Sunset Time (POA&lt;20 W/m2)]]-Table1[[#This Row],[Sunrise Time (POA&gt;20 W/m2)]])*24,"")</f>
        <v>12.150000000000002</v>
      </c>
      <c r="L34" s="107" t="s">
        <v>180</v>
      </c>
      <c r="M34" s="90">
        <f>VLOOKUP(Table1[[#This Row],[Affceted Equipment]],'Basic Data'!$A$2:$C$818,2,0)</f>
        <v>2694.6</v>
      </c>
      <c r="N34" s="92">
        <f>IFERROR(VLOOKUP(Table1[[#This Row],[Affceted Equipment]],'Basic Data'!$A$2:$C$818,3,0),"")</f>
        <v>0.33594733758057077</v>
      </c>
      <c r="O34" s="115" t="s">
        <v>323</v>
      </c>
      <c r="P34" s="93" t="s">
        <v>1085</v>
      </c>
      <c r="Q34" s="93"/>
      <c r="R34" s="93" t="s">
        <v>1089</v>
      </c>
      <c r="S34" s="91">
        <v>0.4465277777777778</v>
      </c>
      <c r="T34" s="116"/>
      <c r="U34" s="116"/>
      <c r="V34" s="91">
        <v>0.45</v>
      </c>
      <c r="W34" s="88">
        <f>IF(Table1[[#This Row],[Acknowledgemnet Time ]]="NA","",(Table1[[#This Row],[Acknowledgemnet Time ]]-Table1[[#This Row],[Fault Time]])*24)</f>
        <v>-10.716666666666667</v>
      </c>
      <c r="X34" s="88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89">
        <f>IFERROR(Table1[[#This Row],[Breakdown Time]]*Table1[[#This Row],[Plant Equivalent Weightage]],"")</f>
        <v>2.7995611465047466E-2</v>
      </c>
      <c r="AD34" s="2">
        <v>7.0000000000000007E-2</v>
      </c>
      <c r="AE34" s="88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4">
        <f>YEAR(Table1[[#This Row],[Date]])+IF(MONTH(Table1[[#This Row],[Date]])&gt;=4,1,0)</f>
        <v>2025</v>
      </c>
      <c r="C35" s="73">
        <f>YEAR(Table1[[#This Row],[Date]])</f>
        <v>2025</v>
      </c>
      <c r="D35" s="73" t="s">
        <v>1082</v>
      </c>
      <c r="E35" s="73" t="s">
        <v>1082</v>
      </c>
      <c r="F35" s="170">
        <f>Table1[[#This Row],[Date]]-DAY(Table1[[#This Row],[Date]])+1</f>
        <v>45717</v>
      </c>
      <c r="G35">
        <f>DAY(EOMONTH(Table1[[#This Row],[Month Year]],0))</f>
        <v>31</v>
      </c>
      <c r="H35" s="103">
        <v>45747</v>
      </c>
      <c r="I35" s="75">
        <f>IFERROR(VLOOKUP(Table1[[#This Row],[Date]],Table3[[Date]:[Sunset Time (POA&lt;20 W/m2)]],3,0),"")</f>
        <v>0.2638888888888889</v>
      </c>
      <c r="J35" s="75">
        <f>IFERROR(VLOOKUP(Table1[[#This Row],[Date]],Table3[[Date]:[Sunset Time (POA&lt;20 W/m2)]],4,0),"")</f>
        <v>0.77013888888888893</v>
      </c>
      <c r="K35" s="76">
        <f>IFERROR((Table1[[#This Row],[Sunset Time (POA&lt;20 W/m2)]]-Table1[[#This Row],[Sunrise Time (POA&gt;20 W/m2)]])*24,"")</f>
        <v>12.150000000000002</v>
      </c>
      <c r="L35" s="107" t="s">
        <v>231</v>
      </c>
      <c r="M35" s="90">
        <f>VLOOKUP(Table1[[#This Row],[Affceted Equipment]],'Basic Data'!$A$2:$C$818,2,0)</f>
        <v>669.6</v>
      </c>
      <c r="N35" s="92">
        <f>IFERROR(VLOOKUP(Table1[[#This Row],[Affceted Equipment]],'Basic Data'!$A$2:$C$818,3,0),"")</f>
        <v>8.348190352703562E-2</v>
      </c>
      <c r="O35" s="115" t="s">
        <v>323</v>
      </c>
      <c r="P35" s="93" t="s">
        <v>1088</v>
      </c>
      <c r="Q35" s="93"/>
      <c r="R35" s="93" t="s">
        <v>1088</v>
      </c>
      <c r="S35" s="91">
        <v>0.45</v>
      </c>
      <c r="T35" s="116"/>
      <c r="U35" s="116"/>
      <c r="V35" s="91">
        <v>0.68402777777777779</v>
      </c>
      <c r="W35" s="88">
        <f>IF(Table1[[#This Row],[Acknowledgemnet Time ]]="NA","",(Table1[[#This Row],[Acknowledgemnet Time ]]-Table1[[#This Row],[Fault Time]])*24)</f>
        <v>-10.8</v>
      </c>
      <c r="X35" s="88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89">
        <f>IFERROR(Table1[[#This Row],[Breakdown Time]]*Table1[[#This Row],[Plant Equivalent Weightage]],"")</f>
        <v>0.46889002481018344</v>
      </c>
      <c r="AD35" s="2">
        <v>4.16</v>
      </c>
      <c r="AE35" s="88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4">
        <f>YEAR(Table1[[#This Row],[Date]])+IF(MONTH(Table1[[#This Row],[Date]])&gt;=4,1,0)</f>
        <v>2025</v>
      </c>
      <c r="C36" s="73">
        <f>YEAR(Table1[[#This Row],[Date]])</f>
        <v>2025</v>
      </c>
      <c r="D36" s="73" t="s">
        <v>1082</v>
      </c>
      <c r="E36" s="73" t="s">
        <v>1082</v>
      </c>
      <c r="F36" s="170">
        <f>Table1[[#This Row],[Date]]-DAY(Table1[[#This Row],[Date]])+1</f>
        <v>45717</v>
      </c>
      <c r="G36">
        <f>DAY(EOMONTH(Table1[[#This Row],[Month Year]],0))</f>
        <v>31</v>
      </c>
      <c r="H36" s="103">
        <v>45747</v>
      </c>
      <c r="I36" s="75">
        <f>IFERROR(VLOOKUP(Table1[[#This Row],[Date]],Table3[[Date]:[Sunset Time (POA&lt;20 W/m2)]],3,0),"")</f>
        <v>0.2638888888888889</v>
      </c>
      <c r="J36" s="75">
        <f>IFERROR(VLOOKUP(Table1[[#This Row],[Date]],Table3[[Date]:[Sunset Time (POA&lt;20 W/m2)]],4,0),"")</f>
        <v>0.77013888888888893</v>
      </c>
      <c r="K36" s="76">
        <f>IFERROR((Table1[[#This Row],[Sunset Time (POA&lt;20 W/m2)]]-Table1[[#This Row],[Sunrise Time (POA&gt;20 W/m2)]])*24,"")</f>
        <v>12.150000000000002</v>
      </c>
      <c r="L36" s="107" t="s">
        <v>232</v>
      </c>
      <c r="M36" s="90">
        <f>VLOOKUP(Table1[[#This Row],[Affceted Equipment]],'Basic Data'!$A$2:$C$818,2,0)</f>
        <v>669.6</v>
      </c>
      <c r="N36" s="92">
        <f>IFERROR(VLOOKUP(Table1[[#This Row],[Affceted Equipment]],'Basic Data'!$A$2:$C$818,3,0),"")</f>
        <v>8.348190352703562E-2</v>
      </c>
      <c r="O36" s="115" t="s">
        <v>323</v>
      </c>
      <c r="P36" s="93" t="s">
        <v>1090</v>
      </c>
      <c r="Q36" s="93"/>
      <c r="R36" s="93" t="s">
        <v>1090</v>
      </c>
      <c r="S36" s="91">
        <v>0.45</v>
      </c>
      <c r="T36" s="116"/>
      <c r="U36" s="116"/>
      <c r="V36" s="91">
        <v>0.68402777777777779</v>
      </c>
      <c r="W36" s="88">
        <f>IF(Table1[[#This Row],[Acknowledgemnet Time ]]="NA","",(Table1[[#This Row],[Acknowledgemnet Time ]]-Table1[[#This Row],[Fault Time]])*24)</f>
        <v>-10.8</v>
      </c>
      <c r="X36" s="88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89">
        <f>IFERROR(Table1[[#This Row],[Breakdown Time]]*Table1[[#This Row],[Plant Equivalent Weightage]],"")</f>
        <v>0.46889002481018344</v>
      </c>
      <c r="AD36" s="2">
        <v>4.16</v>
      </c>
      <c r="AE36" s="88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4">
        <f>YEAR(Table1[[#This Row],[Date]])+IF(MONTH(Table1[[#This Row],[Date]])&gt;=4,1,0)</f>
        <v>2025</v>
      </c>
      <c r="C37" s="73">
        <f>YEAR(Table1[[#This Row],[Date]])</f>
        <v>2025</v>
      </c>
      <c r="D37" s="73" t="s">
        <v>1082</v>
      </c>
      <c r="E37" s="73" t="s">
        <v>1082</v>
      </c>
      <c r="F37" s="170">
        <f>Table1[[#This Row],[Date]]-DAY(Table1[[#This Row],[Date]])+1</f>
        <v>45717</v>
      </c>
      <c r="G37">
        <f>DAY(EOMONTH(Table1[[#This Row],[Month Year]],0))</f>
        <v>31</v>
      </c>
      <c r="H37" s="103">
        <v>45747</v>
      </c>
      <c r="I37" s="75">
        <f>IFERROR(VLOOKUP(Table1[[#This Row],[Date]],Table3[[Date]:[Sunset Time (POA&lt;20 W/m2)]],3,0),"")</f>
        <v>0.2638888888888889</v>
      </c>
      <c r="J37" s="75">
        <f>IFERROR(VLOOKUP(Table1[[#This Row],[Date]],Table3[[Date]:[Sunset Time (POA&lt;20 W/m2)]],4,0),"")</f>
        <v>0.77013888888888893</v>
      </c>
      <c r="K37" s="76">
        <f>IFERROR((Table1[[#This Row],[Sunset Time (POA&lt;20 W/m2)]]-Table1[[#This Row],[Sunrise Time (POA&gt;20 W/m2)]])*24,"")</f>
        <v>12.150000000000002</v>
      </c>
      <c r="L37" s="107" t="s">
        <v>180</v>
      </c>
      <c r="M37" s="90">
        <f>VLOOKUP(Table1[[#This Row],[Affceted Equipment]],'Basic Data'!$A$2:$C$818,2,0)</f>
        <v>2694.6</v>
      </c>
      <c r="N37" s="92">
        <f>IFERROR(VLOOKUP(Table1[[#This Row],[Affceted Equipment]],'Basic Data'!$A$2:$C$818,3,0),"")</f>
        <v>0.33594733758057077</v>
      </c>
      <c r="O37" s="115" t="s">
        <v>323</v>
      </c>
      <c r="P37" s="93" t="s">
        <v>1091</v>
      </c>
      <c r="Q37" s="93"/>
      <c r="R37" s="93" t="s">
        <v>1091</v>
      </c>
      <c r="S37" s="91">
        <v>0.68402777777777779</v>
      </c>
      <c r="T37" s="116"/>
      <c r="U37" s="116"/>
      <c r="V37" s="91">
        <v>0.68611111111111112</v>
      </c>
      <c r="W37" s="88">
        <f>IF(Table1[[#This Row],[Acknowledgemnet Time ]]="NA","",(Table1[[#This Row],[Acknowledgemnet Time ]]-Table1[[#This Row],[Fault Time]])*24)</f>
        <v>-16.416666666666668</v>
      </c>
      <c r="X37" s="88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89">
        <f>IFERROR(Table1[[#This Row],[Breakdown Time]]*Table1[[#This Row],[Plant Equivalent Weightage]],"")</f>
        <v>1.679736687902848E-2</v>
      </c>
      <c r="AD37" s="2">
        <v>0.02</v>
      </c>
      <c r="AE37" s="88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4">
        <f>YEAR(Table1[[#This Row],[Date]])+IF(MONTH(Table1[[#This Row],[Date]])&gt;=4,1,0)</f>
        <v>2025</v>
      </c>
      <c r="C38" s="73">
        <f>YEAR(Table1[[#This Row],[Date]])</f>
        <v>2025</v>
      </c>
      <c r="D38" s="73" t="s">
        <v>1082</v>
      </c>
      <c r="E38" s="73" t="s">
        <v>1082</v>
      </c>
      <c r="F38" s="170">
        <f>Table1[[#This Row],[Date]]-DAY(Table1[[#This Row],[Date]])+1</f>
        <v>45717</v>
      </c>
      <c r="G38">
        <f>DAY(EOMONTH(Table1[[#This Row],[Month Year]],0))</f>
        <v>31</v>
      </c>
      <c r="H38" s="103">
        <v>45747</v>
      </c>
      <c r="I38" s="75">
        <f>IFERROR(VLOOKUP(Table1[[#This Row],[Date]],Table3[[Date]:[Sunset Time (POA&lt;20 W/m2)]],3,0),"")</f>
        <v>0.2638888888888889</v>
      </c>
      <c r="J38" s="75">
        <f>IFERROR(VLOOKUP(Table1[[#This Row],[Date]],Table3[[Date]:[Sunset Time (POA&lt;20 W/m2)]],4,0),"")</f>
        <v>0.77013888888888893</v>
      </c>
      <c r="K38" s="76">
        <f>IFERROR((Table1[[#This Row],[Sunset Time (POA&lt;20 W/m2)]]-Table1[[#This Row],[Sunrise Time (POA&gt;20 W/m2)]])*24,"")</f>
        <v>12.150000000000002</v>
      </c>
      <c r="L38" s="107" t="s">
        <v>231</v>
      </c>
      <c r="M38" s="90">
        <f>VLOOKUP(Table1[[#This Row],[Affceted Equipment]],'Basic Data'!$A$2:$C$818,2,0)</f>
        <v>669.6</v>
      </c>
      <c r="N38" s="92">
        <f>IFERROR(VLOOKUP(Table1[[#This Row],[Affceted Equipment]],'Basic Data'!$A$2:$C$818,3,0),"")</f>
        <v>8.348190352703562E-2</v>
      </c>
      <c r="O38" s="115" t="s">
        <v>323</v>
      </c>
      <c r="P38" s="93" t="s">
        <v>1088</v>
      </c>
      <c r="Q38" s="93"/>
      <c r="R38" s="93" t="s">
        <v>1088</v>
      </c>
      <c r="S38" s="91">
        <v>0.68611111111111112</v>
      </c>
      <c r="T38" s="116"/>
      <c r="U38" s="116"/>
      <c r="V38" s="91">
        <v>0.76388888888888884</v>
      </c>
      <c r="W38" s="88">
        <f>IF(Table1[[#This Row],[Acknowledgemnet Time ]]="NA","",(Table1[[#This Row],[Acknowledgemnet Time ]]-Table1[[#This Row],[Fault Time]])*24)</f>
        <v>-16.466666666666669</v>
      </c>
      <c r="X38" s="88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89">
        <f>IFERROR(Table1[[#This Row],[Breakdown Time]]*Table1[[#This Row],[Plant Equivalent Weightage]],"")</f>
        <v>0.15583288658379971</v>
      </c>
      <c r="AD38" s="2">
        <v>0.28999999999999998</v>
      </c>
      <c r="AE38" s="88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4">
        <f>YEAR(Table1[[#This Row],[Date]])+IF(MONTH(Table1[[#This Row],[Date]])&gt;=4,1,0)</f>
        <v>2026</v>
      </c>
      <c r="C39" s="73">
        <f>YEAR(Table1[[#This Row],[Date]])</f>
        <v>2025</v>
      </c>
      <c r="D39" s="73" t="s">
        <v>1082</v>
      </c>
      <c r="E39" s="73" t="s">
        <v>1082</v>
      </c>
      <c r="F39" s="170">
        <f>Table1[[#This Row],[Date]]-DAY(Table1[[#This Row],[Date]])+1</f>
        <v>45748</v>
      </c>
      <c r="G39">
        <f>DAY(EOMONTH(Table1[[#This Row],[Month Year]],0))</f>
        <v>30</v>
      </c>
      <c r="H39" s="103">
        <v>45748</v>
      </c>
      <c r="I39" s="75">
        <f>IFERROR(VLOOKUP(Table1[[#This Row],[Date]],Table3[[Date]:[Sunset Time (POA&lt;20 W/m2)]],3,0),"")</f>
        <v>0.2638888888888889</v>
      </c>
      <c r="J39" s="75">
        <f>IFERROR(VLOOKUP(Table1[[#This Row],[Date]],Table3[[Date]:[Sunset Time (POA&lt;20 W/m2)]],4,0),"")</f>
        <v>0.76597222222222228</v>
      </c>
      <c r="K39" s="76">
        <f>IFERROR((Table1[[#This Row],[Sunset Time (POA&lt;20 W/m2)]]-Table1[[#This Row],[Sunrise Time (POA&gt;20 W/m2)]])*24,"")</f>
        <v>12.050000000000002</v>
      </c>
      <c r="L39" s="107" t="s">
        <v>238</v>
      </c>
      <c r="M39" s="90">
        <f>VLOOKUP(Table1[[#This Row],[Affceted Equipment]],'Basic Data'!$A$2:$C$818,2,0)</f>
        <v>658.8</v>
      </c>
      <c r="N39" s="92">
        <f>IFERROR(VLOOKUP(Table1[[#This Row],[Affceted Equipment]],'Basic Data'!$A$2:$C$818,3,0),"")</f>
        <v>8.2135421212083434E-2</v>
      </c>
      <c r="O39" s="115" t="s">
        <v>323</v>
      </c>
      <c r="P39" s="93" t="s">
        <v>1087</v>
      </c>
      <c r="Q39" s="93"/>
      <c r="R39" s="93" t="s">
        <v>1087</v>
      </c>
      <c r="S39" s="91">
        <v>0.2638888888888889</v>
      </c>
      <c r="T39" s="116"/>
      <c r="U39" s="116"/>
      <c r="V39" s="91">
        <v>0.76597222222222228</v>
      </c>
      <c r="W39" s="88">
        <f>IF(Table1[[#This Row],[Acknowledgemnet Time ]]="NA","",(Table1[[#This Row],[Acknowledgemnet Time ]]-Table1[[#This Row],[Fault Time]])*24)</f>
        <v>-6.3333333333333339</v>
      </c>
      <c r="X39" s="88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89">
        <f>IFERROR(Table1[[#This Row],[Breakdown Time]]*Table1[[#This Row],[Plant Equivalent Weightage]],"")</f>
        <v>0.98973182560560558</v>
      </c>
      <c r="AD39" s="2">
        <v>6.04</v>
      </c>
      <c r="AE39" s="88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4">
        <f>YEAR(Table1[[#This Row],[Date]])+IF(MONTH(Table1[[#This Row],[Date]])&gt;=4,1,0)</f>
        <v>2026</v>
      </c>
      <c r="C40" s="73">
        <f>YEAR(Table1[[#This Row],[Date]])</f>
        <v>2025</v>
      </c>
      <c r="D40" s="73" t="s">
        <v>1082</v>
      </c>
      <c r="E40" s="73" t="s">
        <v>1082</v>
      </c>
      <c r="F40" s="170">
        <f>Table1[[#This Row],[Date]]-DAY(Table1[[#This Row],[Date]])+1</f>
        <v>45748</v>
      </c>
      <c r="G40">
        <f>DAY(EOMONTH(Table1[[#This Row],[Month Year]],0))</f>
        <v>30</v>
      </c>
      <c r="H40" s="103">
        <v>45748</v>
      </c>
      <c r="I40" s="75">
        <f>IFERROR(VLOOKUP(Table1[[#This Row],[Date]],Table3[[Date]:[Sunset Time (POA&lt;20 W/m2)]],3,0),"")</f>
        <v>0.2638888888888889</v>
      </c>
      <c r="J40" s="75">
        <f>IFERROR(VLOOKUP(Table1[[#This Row],[Date]],Table3[[Date]:[Sunset Time (POA&lt;20 W/m2)]],4,0),"")</f>
        <v>0.76597222222222228</v>
      </c>
      <c r="K40" s="76">
        <f>IFERROR((Table1[[#This Row],[Sunset Time (POA&lt;20 W/m2)]]-Table1[[#This Row],[Sunrise Time (POA&gt;20 W/m2)]])*24,"")</f>
        <v>12.050000000000002</v>
      </c>
      <c r="L40" s="107" t="s">
        <v>231</v>
      </c>
      <c r="M40" s="90">
        <f>VLOOKUP(Table1[[#This Row],[Affceted Equipment]],'Basic Data'!$A$2:$C$818,2,0)</f>
        <v>669.6</v>
      </c>
      <c r="N40" s="92">
        <f>IFERROR(VLOOKUP(Table1[[#This Row],[Affceted Equipment]],'Basic Data'!$A$2:$C$818,3,0),"")</f>
        <v>8.348190352703562E-2</v>
      </c>
      <c r="O40" s="115" t="s">
        <v>323</v>
      </c>
      <c r="P40" s="93" t="s">
        <v>1088</v>
      </c>
      <c r="Q40" s="93"/>
      <c r="R40" s="93" t="s">
        <v>1088</v>
      </c>
      <c r="S40" s="91">
        <v>0.2638888888888889</v>
      </c>
      <c r="T40" s="116"/>
      <c r="U40" s="116"/>
      <c r="V40" s="91">
        <v>0.44027777777777777</v>
      </c>
      <c r="W40" s="88">
        <f>IF(Table1[[#This Row],[Acknowledgemnet Time ]]="NA","",(Table1[[#This Row],[Acknowledgemnet Time ]]-Table1[[#This Row],[Fault Time]])*24)</f>
        <v>-6.3333333333333339</v>
      </c>
      <c r="X40" s="88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89">
        <f>IFERROR(Table1[[#This Row],[Breakdown Time]]*Table1[[#This Row],[Plant Equivalent Weightage]],"")</f>
        <v>0.35340672493111741</v>
      </c>
      <c r="AD40" s="2">
        <v>1.41</v>
      </c>
      <c r="AE40" s="88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4">
        <f>YEAR(Table1[[#This Row],[Date]])+IF(MONTH(Table1[[#This Row],[Date]])&gt;=4,1,0)</f>
        <v>2026</v>
      </c>
      <c r="C41" s="73">
        <f>YEAR(Table1[[#This Row],[Date]])</f>
        <v>2025</v>
      </c>
      <c r="D41" s="73" t="s">
        <v>1082</v>
      </c>
      <c r="E41" s="73" t="s">
        <v>1082</v>
      </c>
      <c r="F41" s="170">
        <f>Table1[[#This Row],[Date]]-DAY(Table1[[#This Row],[Date]])+1</f>
        <v>45748</v>
      </c>
      <c r="G41">
        <f>DAY(EOMONTH(Table1[[#This Row],[Month Year]],0))</f>
        <v>30</v>
      </c>
      <c r="H41" s="103">
        <v>45748</v>
      </c>
      <c r="I41" s="75">
        <f>IFERROR(VLOOKUP(Table1[[#This Row],[Date]],Table3[[Date]:[Sunset Time (POA&lt;20 W/m2)]],3,0),"")</f>
        <v>0.2638888888888889</v>
      </c>
      <c r="J41" s="75">
        <f>IFERROR(VLOOKUP(Table1[[#This Row],[Date]],Table3[[Date]:[Sunset Time (POA&lt;20 W/m2)]],4,0),"")</f>
        <v>0.76597222222222228</v>
      </c>
      <c r="K41" s="76">
        <f>IFERROR((Table1[[#This Row],[Sunset Time (POA&lt;20 W/m2)]]-Table1[[#This Row],[Sunrise Time (POA&gt;20 W/m2)]])*24,"")</f>
        <v>12.050000000000002</v>
      </c>
      <c r="L41" s="107" t="s">
        <v>180</v>
      </c>
      <c r="M41" s="90">
        <f>VLOOKUP(Table1[[#This Row],[Affceted Equipment]],'Basic Data'!$A$2:$C$818,2,0)</f>
        <v>2694.6</v>
      </c>
      <c r="N41" s="92">
        <f>IFERROR(VLOOKUP(Table1[[#This Row],[Affceted Equipment]],'Basic Data'!$A$2:$C$818,3,0),"")</f>
        <v>0.33594733758057077</v>
      </c>
      <c r="O41" s="115" t="s">
        <v>323</v>
      </c>
      <c r="P41" s="93" t="s">
        <v>1085</v>
      </c>
      <c r="Q41" s="93"/>
      <c r="R41" s="93" t="s">
        <v>1089</v>
      </c>
      <c r="S41" s="91">
        <v>0.44027777777777777</v>
      </c>
      <c r="T41" s="116"/>
      <c r="U41" s="116"/>
      <c r="V41" s="91">
        <v>0.44583333333333336</v>
      </c>
      <c r="W41" s="88">
        <f>IF(Table1[[#This Row],[Acknowledgemnet Time ]]="NA","",(Table1[[#This Row],[Acknowledgemnet Time ]]-Table1[[#This Row],[Fault Time]])*24)</f>
        <v>-10.566666666666666</v>
      </c>
      <c r="X41" s="88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89">
        <f>IFERROR(Table1[[#This Row],[Breakdown Time]]*Table1[[#This Row],[Plant Equivalent Weightage]],"")</f>
        <v>4.479297834407639E-2</v>
      </c>
      <c r="AD41" s="2">
        <v>0.1</v>
      </c>
      <c r="AE41" s="88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4">
        <f>YEAR(Table1[[#This Row],[Date]])+IF(MONTH(Table1[[#This Row],[Date]])&gt;=4,1,0)</f>
        <v>2026</v>
      </c>
      <c r="C42" s="73">
        <f>YEAR(Table1[[#This Row],[Date]])</f>
        <v>2025</v>
      </c>
      <c r="D42" s="73" t="s">
        <v>1082</v>
      </c>
      <c r="E42" s="73" t="s">
        <v>1082</v>
      </c>
      <c r="F42" s="170">
        <f>Table1[[#This Row],[Date]]-DAY(Table1[[#This Row],[Date]])+1</f>
        <v>45748</v>
      </c>
      <c r="G42">
        <f>DAY(EOMONTH(Table1[[#This Row],[Month Year]],0))</f>
        <v>30</v>
      </c>
      <c r="H42" s="103">
        <v>45748</v>
      </c>
      <c r="I42" s="75">
        <f>IFERROR(VLOOKUP(Table1[[#This Row],[Date]],Table3[[Date]:[Sunset Time (POA&lt;20 W/m2)]],3,0),"")</f>
        <v>0.2638888888888889</v>
      </c>
      <c r="J42" s="75">
        <f>IFERROR(VLOOKUP(Table1[[#This Row],[Date]],Table3[[Date]:[Sunset Time (POA&lt;20 W/m2)]],4,0),"")</f>
        <v>0.76597222222222228</v>
      </c>
      <c r="K42" s="76">
        <f>IFERROR((Table1[[#This Row],[Sunset Time (POA&lt;20 W/m2)]]-Table1[[#This Row],[Sunrise Time (POA&gt;20 W/m2)]])*24,"")</f>
        <v>12.050000000000002</v>
      </c>
      <c r="L42" s="107" t="s">
        <v>231</v>
      </c>
      <c r="M42" s="90">
        <f>VLOOKUP(Table1[[#This Row],[Affceted Equipment]],'Basic Data'!$A$2:$C$818,2,0)</f>
        <v>669.6</v>
      </c>
      <c r="N42" s="92">
        <f>IFERROR(VLOOKUP(Table1[[#This Row],[Affceted Equipment]],'Basic Data'!$A$2:$C$818,3,0),"")</f>
        <v>8.348190352703562E-2</v>
      </c>
      <c r="O42" s="115" t="s">
        <v>323</v>
      </c>
      <c r="P42" s="93" t="s">
        <v>1088</v>
      </c>
      <c r="Q42" s="93"/>
      <c r="R42" s="93" t="s">
        <v>1088</v>
      </c>
      <c r="S42" s="91">
        <v>0.44583333333333336</v>
      </c>
      <c r="T42" s="116"/>
      <c r="U42" s="116"/>
      <c r="V42" s="91">
        <v>0.69305555555555554</v>
      </c>
      <c r="W42" s="88">
        <f>IF(Table1[[#This Row],[Acknowledgemnet Time ]]="NA","",(Table1[[#This Row],[Acknowledgemnet Time ]]-Table1[[#This Row],[Fault Time]])*24)</f>
        <v>-10.700000000000001</v>
      </c>
      <c r="X42" s="88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89">
        <f>IFERROR(Table1[[#This Row],[Breakdown Time]]*Table1[[#This Row],[Plant Equivalent Weightage]],"")</f>
        <v>0.49532596092707787</v>
      </c>
      <c r="AD42" s="2">
        <v>4.33</v>
      </c>
      <c r="AE42" s="88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4">
        <f>YEAR(Table1[[#This Row],[Date]])+IF(MONTH(Table1[[#This Row],[Date]])&gt;=4,1,0)</f>
        <v>2026</v>
      </c>
      <c r="C43" s="73">
        <f>YEAR(Table1[[#This Row],[Date]])</f>
        <v>2025</v>
      </c>
      <c r="D43" s="73" t="s">
        <v>1082</v>
      </c>
      <c r="E43" s="73" t="s">
        <v>1082</v>
      </c>
      <c r="F43" s="170">
        <f>Table1[[#This Row],[Date]]-DAY(Table1[[#This Row],[Date]])+1</f>
        <v>45748</v>
      </c>
      <c r="G43">
        <f>DAY(EOMONTH(Table1[[#This Row],[Month Year]],0))</f>
        <v>30</v>
      </c>
      <c r="H43" s="103">
        <v>45748</v>
      </c>
      <c r="I43" s="75">
        <f>IFERROR(VLOOKUP(Table1[[#This Row],[Date]],Table3[[Date]:[Sunset Time (POA&lt;20 W/m2)]],3,0),"")</f>
        <v>0.2638888888888889</v>
      </c>
      <c r="J43" s="75">
        <f>IFERROR(VLOOKUP(Table1[[#This Row],[Date]],Table3[[Date]:[Sunset Time (POA&lt;20 W/m2)]],4,0),"")</f>
        <v>0.76597222222222228</v>
      </c>
      <c r="K43" s="76">
        <f>IFERROR((Table1[[#This Row],[Sunset Time (POA&lt;20 W/m2)]]-Table1[[#This Row],[Sunrise Time (POA&gt;20 W/m2)]])*24,"")</f>
        <v>12.050000000000002</v>
      </c>
      <c r="L43" s="107" t="s">
        <v>232</v>
      </c>
      <c r="M43" s="90">
        <f>VLOOKUP(Table1[[#This Row],[Affceted Equipment]],'Basic Data'!$A$2:$C$818,2,0)</f>
        <v>669.6</v>
      </c>
      <c r="N43" s="92">
        <f>IFERROR(VLOOKUP(Table1[[#This Row],[Affceted Equipment]],'Basic Data'!$A$2:$C$818,3,0),"")</f>
        <v>8.348190352703562E-2</v>
      </c>
      <c r="O43" s="115" t="s">
        <v>323</v>
      </c>
      <c r="P43" s="93" t="s">
        <v>1090</v>
      </c>
      <c r="Q43" s="93"/>
      <c r="R43" s="93" t="s">
        <v>1090</v>
      </c>
      <c r="S43" s="91">
        <v>0.44583333333333336</v>
      </c>
      <c r="T43" s="116"/>
      <c r="U43" s="116"/>
      <c r="V43" s="91">
        <v>0.69305555555555554</v>
      </c>
      <c r="W43" s="88">
        <f>IF(Table1[[#This Row],[Acknowledgemnet Time ]]="NA","",(Table1[[#This Row],[Acknowledgemnet Time ]]-Table1[[#This Row],[Fault Time]])*24)</f>
        <v>-10.700000000000001</v>
      </c>
      <c r="X43" s="88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89">
        <f>IFERROR(Table1[[#This Row],[Breakdown Time]]*Table1[[#This Row],[Plant Equivalent Weightage]],"")</f>
        <v>0.49532596092707787</v>
      </c>
      <c r="AD43" s="2">
        <v>4.33</v>
      </c>
      <c r="AE43" s="88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4">
        <f>YEAR(Table1[[#This Row],[Date]])+IF(MONTH(Table1[[#This Row],[Date]])&gt;=4,1,0)</f>
        <v>2026</v>
      </c>
      <c r="C44" s="73">
        <f>YEAR(Table1[[#This Row],[Date]])</f>
        <v>2025</v>
      </c>
      <c r="D44" s="73" t="s">
        <v>1082</v>
      </c>
      <c r="E44" s="73" t="s">
        <v>1082</v>
      </c>
      <c r="F44" s="170">
        <f>Table1[[#This Row],[Date]]-DAY(Table1[[#This Row],[Date]])+1</f>
        <v>45748</v>
      </c>
      <c r="G44">
        <f>DAY(EOMONTH(Table1[[#This Row],[Month Year]],0))</f>
        <v>30</v>
      </c>
      <c r="H44" s="103">
        <v>45748</v>
      </c>
      <c r="I44" s="75">
        <f>IFERROR(VLOOKUP(Table1[[#This Row],[Date]],Table3[[Date]:[Sunset Time (POA&lt;20 W/m2)]],3,0),"")</f>
        <v>0.2638888888888889</v>
      </c>
      <c r="J44" s="75">
        <f>IFERROR(VLOOKUP(Table1[[#This Row],[Date]],Table3[[Date]:[Sunset Time (POA&lt;20 W/m2)]],4,0),"")</f>
        <v>0.76597222222222228</v>
      </c>
      <c r="K44" s="76">
        <f>IFERROR((Table1[[#This Row],[Sunset Time (POA&lt;20 W/m2)]]-Table1[[#This Row],[Sunrise Time (POA&gt;20 W/m2)]])*24,"")</f>
        <v>12.050000000000002</v>
      </c>
      <c r="L44" s="107" t="s">
        <v>180</v>
      </c>
      <c r="M44" s="90">
        <f>VLOOKUP(Table1[[#This Row],[Affceted Equipment]],'Basic Data'!$A$2:$C$818,2,0)</f>
        <v>2694.6</v>
      </c>
      <c r="N44" s="92">
        <f>IFERROR(VLOOKUP(Table1[[#This Row],[Affceted Equipment]],'Basic Data'!$A$2:$C$818,3,0),"")</f>
        <v>0.33594733758057077</v>
      </c>
      <c r="O44" s="115" t="s">
        <v>323</v>
      </c>
      <c r="P44" s="93" t="s">
        <v>1091</v>
      </c>
      <c r="Q44" s="93"/>
      <c r="R44" s="93" t="s">
        <v>1091</v>
      </c>
      <c r="S44" s="91">
        <v>0.69305555555555554</v>
      </c>
      <c r="T44" s="116"/>
      <c r="U44" s="116"/>
      <c r="V44" s="91">
        <v>0.69444444444444442</v>
      </c>
      <c r="W44" s="88">
        <f>IF(Table1[[#This Row],[Acknowledgemnet Time ]]="NA","",(Table1[[#This Row],[Acknowledgemnet Time ]]-Table1[[#This Row],[Fault Time]])*24)</f>
        <v>-16.633333333333333</v>
      </c>
      <c r="X44" s="88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89">
        <f>IFERROR(Table1[[#This Row],[Breakdown Time]]*Table1[[#This Row],[Plant Equivalent Weightage]],"")</f>
        <v>1.1198244586018986E-2</v>
      </c>
      <c r="AD44" s="2">
        <v>0.01</v>
      </c>
      <c r="AE44" s="88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4">
        <f>YEAR(Table1[[#This Row],[Date]])+IF(MONTH(Table1[[#This Row],[Date]])&gt;=4,1,0)</f>
        <v>2026</v>
      </c>
      <c r="C45" s="73">
        <f>YEAR(Table1[[#This Row],[Date]])</f>
        <v>2025</v>
      </c>
      <c r="D45" s="73" t="s">
        <v>1082</v>
      </c>
      <c r="E45" s="73" t="s">
        <v>1082</v>
      </c>
      <c r="F45" s="170">
        <f>Table1[[#This Row],[Date]]-DAY(Table1[[#This Row],[Date]])+1</f>
        <v>45748</v>
      </c>
      <c r="G45">
        <f>DAY(EOMONTH(Table1[[#This Row],[Month Year]],0))</f>
        <v>30</v>
      </c>
      <c r="H45" s="103">
        <v>45748</v>
      </c>
      <c r="I45" s="75">
        <f>IFERROR(VLOOKUP(Table1[[#This Row],[Date]],Table3[[Date]:[Sunset Time (POA&lt;20 W/m2)]],3,0),"")</f>
        <v>0.2638888888888889</v>
      </c>
      <c r="J45" s="75">
        <f>IFERROR(VLOOKUP(Table1[[#This Row],[Date]],Table3[[Date]:[Sunset Time (POA&lt;20 W/m2)]],4,0),"")</f>
        <v>0.76597222222222228</v>
      </c>
      <c r="K45" s="76">
        <f>IFERROR((Table1[[#This Row],[Sunset Time (POA&lt;20 W/m2)]]-Table1[[#This Row],[Sunrise Time (POA&gt;20 W/m2)]])*24,"")</f>
        <v>12.050000000000002</v>
      </c>
      <c r="L45" s="107" t="s">
        <v>231</v>
      </c>
      <c r="M45" s="90">
        <f>VLOOKUP(Table1[[#This Row],[Affceted Equipment]],'Basic Data'!$A$2:$C$818,2,0)</f>
        <v>669.6</v>
      </c>
      <c r="N45" s="92">
        <f>IFERROR(VLOOKUP(Table1[[#This Row],[Affceted Equipment]],'Basic Data'!$A$2:$C$818,3,0),"")</f>
        <v>8.348190352703562E-2</v>
      </c>
      <c r="O45" s="115" t="s">
        <v>323</v>
      </c>
      <c r="P45" s="93" t="s">
        <v>1088</v>
      </c>
      <c r="Q45" s="93"/>
      <c r="R45" s="93" t="s">
        <v>1088</v>
      </c>
      <c r="S45" s="91">
        <v>0.69444444444444442</v>
      </c>
      <c r="T45" s="116"/>
      <c r="U45" s="116"/>
      <c r="V45" s="91">
        <v>0.76597222222222228</v>
      </c>
      <c r="W45" s="88">
        <f>IF(Table1[[#This Row],[Acknowledgemnet Time ]]="NA","",(Table1[[#This Row],[Acknowledgemnet Time ]]-Table1[[#This Row],[Fault Time]])*24)</f>
        <v>-16.666666666666664</v>
      </c>
      <c r="X45" s="88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89">
        <f>IFERROR(Table1[[#This Row],[Breakdown Time]]*Table1[[#This Row],[Plant Equivalent Weightage]],"")</f>
        <v>0.14331060105474464</v>
      </c>
      <c r="AD45" s="2">
        <v>0.21</v>
      </c>
      <c r="AE45" s="88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4">
        <f>YEAR(Table1[[#This Row],[Date]])+IF(MONTH(Table1[[#This Row],[Date]])&gt;=4,1,0)</f>
        <v>2026</v>
      </c>
      <c r="C46" s="73">
        <f>YEAR(Table1[[#This Row],[Date]])</f>
        <v>2025</v>
      </c>
      <c r="D46" s="73" t="s">
        <v>1082</v>
      </c>
      <c r="E46" s="73" t="s">
        <v>1082</v>
      </c>
      <c r="F46" s="170">
        <f>Table1[[#This Row],[Date]]-DAY(Table1[[#This Row],[Date]])+1</f>
        <v>45748</v>
      </c>
      <c r="G46">
        <f>DAY(EOMONTH(Table1[[#This Row],[Month Year]],0))</f>
        <v>30</v>
      </c>
      <c r="H46" s="103">
        <v>45749</v>
      </c>
      <c r="I46" s="75">
        <f>IFERROR(VLOOKUP(Table1[[#This Row],[Date]],Table3[[Date]:[Sunset Time (POA&lt;20 W/m2)]],3,0),"")</f>
        <v>0.26319444444444445</v>
      </c>
      <c r="J46" s="75">
        <f>IFERROR(VLOOKUP(Table1[[#This Row],[Date]],Table3[[Date]:[Sunset Time (POA&lt;20 W/m2)]],4,0),"")</f>
        <v>0.7729166666666667</v>
      </c>
      <c r="K46" s="76">
        <f>IFERROR((Table1[[#This Row],[Sunset Time (POA&lt;20 W/m2)]]-Table1[[#This Row],[Sunrise Time (POA&gt;20 W/m2)]])*24,"")</f>
        <v>12.233333333333333</v>
      </c>
      <c r="L46" s="107" t="s">
        <v>238</v>
      </c>
      <c r="M46" s="61">
        <f>VLOOKUP(Table1[[#This Row],[Affceted Equipment]],'Basic Data'!$A$2:$C$818,2,0)</f>
        <v>658.8</v>
      </c>
      <c r="N46" s="92">
        <f>IFERROR(VLOOKUP(Table1[[#This Row],[Affceted Equipment]],'Basic Data'!$A$2:$C$818,3,0),"")</f>
        <v>8.2135421212083434E-2</v>
      </c>
      <c r="O46" s="115" t="s">
        <v>303</v>
      </c>
      <c r="P46" s="93" t="s">
        <v>1087</v>
      </c>
      <c r="Q46" s="93"/>
      <c r="R46" s="93" t="s">
        <v>1087</v>
      </c>
      <c r="S46" s="91">
        <v>0.26319444444444445</v>
      </c>
      <c r="T46" s="116"/>
      <c r="U46" s="116"/>
      <c r="V46" s="91">
        <v>0.7729166666666667</v>
      </c>
      <c r="W46" s="88">
        <f>IF(Table1[[#This Row],[Acknowledgemnet Time ]]="NA","",(Table1[[#This Row],[Acknowledgemnet Time ]]-Table1[[#This Row],[Fault Time]])*24)</f>
        <v>-6.3166666666666664</v>
      </c>
      <c r="X46" s="88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89">
        <f>IFERROR(Table1[[#This Row],[Breakdown Time]]*Table1[[#This Row],[Plant Equivalent Weightage]],"")</f>
        <v>1.004789986161154</v>
      </c>
      <c r="AD46" s="2">
        <v>6.71</v>
      </c>
      <c r="AE46" s="88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4">
        <f>YEAR(Table1[[#This Row],[Date]])+IF(MONTH(Table1[[#This Row],[Date]])&gt;=4,1,0)</f>
        <v>2026</v>
      </c>
      <c r="C47" s="73">
        <f>YEAR(Table1[[#This Row],[Date]])</f>
        <v>2025</v>
      </c>
      <c r="D47" s="73" t="s">
        <v>1082</v>
      </c>
      <c r="E47" s="73" t="s">
        <v>1082</v>
      </c>
      <c r="F47" s="170">
        <f>Table1[[#This Row],[Date]]-DAY(Table1[[#This Row],[Date]])+1</f>
        <v>45748</v>
      </c>
      <c r="G47">
        <f>DAY(EOMONTH(Table1[[#This Row],[Month Year]],0))</f>
        <v>30</v>
      </c>
      <c r="H47" s="103">
        <v>45749</v>
      </c>
      <c r="I47" s="75">
        <f>IFERROR(VLOOKUP(Table1[[#This Row],[Date]],Table3[[Date]:[Sunset Time (POA&lt;20 W/m2)]],3,0),"")</f>
        <v>0.26319444444444445</v>
      </c>
      <c r="J47" s="75">
        <f>IFERROR(VLOOKUP(Table1[[#This Row],[Date]],Table3[[Date]:[Sunset Time (POA&lt;20 W/m2)]],4,0),"")</f>
        <v>0.7729166666666667</v>
      </c>
      <c r="K47" s="76">
        <f>IFERROR((Table1[[#This Row],[Sunset Time (POA&lt;20 W/m2)]]-Table1[[#This Row],[Sunrise Time (POA&gt;20 W/m2)]])*24,"")</f>
        <v>12.233333333333333</v>
      </c>
      <c r="L47" s="107" t="s">
        <v>231</v>
      </c>
      <c r="M47" s="61">
        <f>VLOOKUP(Table1[[#This Row],[Affceted Equipment]],'Basic Data'!$A$2:$C$818,2,0)</f>
        <v>669.6</v>
      </c>
      <c r="N47" s="92">
        <f>IFERROR(VLOOKUP(Table1[[#This Row],[Affceted Equipment]],'Basic Data'!$A$2:$C$818,3,0),"")</f>
        <v>8.348190352703562E-2</v>
      </c>
      <c r="O47" s="115" t="s">
        <v>323</v>
      </c>
      <c r="P47" s="93" t="s">
        <v>1088</v>
      </c>
      <c r="Q47" s="93"/>
      <c r="R47" s="93" t="s">
        <v>1088</v>
      </c>
      <c r="S47" s="91">
        <v>0.26319444444444445</v>
      </c>
      <c r="T47" s="116"/>
      <c r="U47" s="116"/>
      <c r="V47" s="91">
        <v>0.40763888888888888</v>
      </c>
      <c r="W47" s="88">
        <f>IF(Table1[[#This Row],[Acknowledgemnet Time ]]="NA","",(Table1[[#This Row],[Acknowledgemnet Time ]]-Table1[[#This Row],[Fault Time]])*24)</f>
        <v>-6.3166666666666664</v>
      </c>
      <c r="X47" s="88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89">
        <f>IFERROR(Table1[[#This Row],[Breakdown Time]]*Table1[[#This Row],[Plant Equivalent Weightage]],"")</f>
        <v>0.28940393222705679</v>
      </c>
      <c r="AD47" s="2">
        <v>1.01</v>
      </c>
      <c r="AE47" s="88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4">
        <f>YEAR(Table1[[#This Row],[Date]])+IF(MONTH(Table1[[#This Row],[Date]])&gt;=4,1,0)</f>
        <v>2026</v>
      </c>
      <c r="C48" s="73">
        <f>YEAR(Table1[[#This Row],[Date]])</f>
        <v>2025</v>
      </c>
      <c r="D48" s="73" t="s">
        <v>1082</v>
      </c>
      <c r="E48" s="73" t="s">
        <v>1082</v>
      </c>
      <c r="F48" s="170">
        <f>Table1[[#This Row],[Date]]-DAY(Table1[[#This Row],[Date]])+1</f>
        <v>45748</v>
      </c>
      <c r="G48">
        <f>DAY(EOMONTH(Table1[[#This Row],[Month Year]],0))</f>
        <v>30</v>
      </c>
      <c r="H48" s="103">
        <v>45749</v>
      </c>
      <c r="I48" s="75">
        <f>IFERROR(VLOOKUP(Table1[[#This Row],[Date]],Table3[[Date]:[Sunset Time (POA&lt;20 W/m2)]],3,0),"")</f>
        <v>0.26319444444444445</v>
      </c>
      <c r="J48" s="75">
        <f>IFERROR(VLOOKUP(Table1[[#This Row],[Date]],Table3[[Date]:[Sunset Time (POA&lt;20 W/m2)]],4,0),"")</f>
        <v>0.7729166666666667</v>
      </c>
      <c r="K48" s="76">
        <f>IFERROR((Table1[[#This Row],[Sunset Time (POA&lt;20 W/m2)]]-Table1[[#This Row],[Sunrise Time (POA&gt;20 W/m2)]])*24,"")</f>
        <v>12.233333333333333</v>
      </c>
      <c r="L48" s="107" t="s">
        <v>180</v>
      </c>
      <c r="M48" s="61">
        <f>VLOOKUP(Table1[[#This Row],[Affceted Equipment]],'Basic Data'!$A$2:$C$818,2,0)</f>
        <v>2694.6</v>
      </c>
      <c r="N48" s="92">
        <f>IFERROR(VLOOKUP(Table1[[#This Row],[Affceted Equipment]],'Basic Data'!$A$2:$C$818,3,0),"")</f>
        <v>0.33594733758057077</v>
      </c>
      <c r="O48" s="115" t="s">
        <v>323</v>
      </c>
      <c r="P48" s="93" t="s">
        <v>1085</v>
      </c>
      <c r="Q48" s="93"/>
      <c r="R48" s="93" t="s">
        <v>1089</v>
      </c>
      <c r="S48" s="91">
        <v>0.40763888888888888</v>
      </c>
      <c r="T48" s="116"/>
      <c r="U48" s="116"/>
      <c r="V48" s="91">
        <v>0.41388888888888886</v>
      </c>
      <c r="W48" s="88">
        <f>IF(Table1[[#This Row],[Acknowledgemnet Time ]]="NA","",(Table1[[#This Row],[Acknowledgemnet Time ]]-Table1[[#This Row],[Fault Time]])*24)</f>
        <v>-9.7833333333333332</v>
      </c>
      <c r="X48" s="88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89">
        <f>IFERROR(Table1[[#This Row],[Breakdown Time]]*Table1[[#This Row],[Plant Equivalent Weightage]],"")</f>
        <v>5.0392100637085435E-2</v>
      </c>
      <c r="AD48" s="2">
        <v>0.12</v>
      </c>
      <c r="AE48" s="88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4">
        <f>YEAR(Table1[[#This Row],[Date]])+IF(MONTH(Table1[[#This Row],[Date]])&gt;=4,1,0)</f>
        <v>2026</v>
      </c>
      <c r="C49" s="73">
        <f>YEAR(Table1[[#This Row],[Date]])</f>
        <v>2025</v>
      </c>
      <c r="D49" s="73" t="s">
        <v>1082</v>
      </c>
      <c r="E49" s="73" t="s">
        <v>1082</v>
      </c>
      <c r="F49" s="170">
        <f>Table1[[#This Row],[Date]]-DAY(Table1[[#This Row],[Date]])+1</f>
        <v>45748</v>
      </c>
      <c r="G49">
        <f>DAY(EOMONTH(Table1[[#This Row],[Month Year]],0))</f>
        <v>30</v>
      </c>
      <c r="H49" s="103">
        <v>45749</v>
      </c>
      <c r="I49" s="75">
        <f>IFERROR(VLOOKUP(Table1[[#This Row],[Date]],Table3[[Date]:[Sunset Time (POA&lt;20 W/m2)]],3,0),"")</f>
        <v>0.26319444444444445</v>
      </c>
      <c r="J49" s="75">
        <f>IFERROR(VLOOKUP(Table1[[#This Row],[Date]],Table3[[Date]:[Sunset Time (POA&lt;20 W/m2)]],4,0),"")</f>
        <v>0.7729166666666667</v>
      </c>
      <c r="K49" s="76">
        <f>IFERROR((Table1[[#This Row],[Sunset Time (POA&lt;20 W/m2)]]-Table1[[#This Row],[Sunrise Time (POA&gt;20 W/m2)]])*24,"")</f>
        <v>12.233333333333333</v>
      </c>
      <c r="L49" s="107" t="s">
        <v>231</v>
      </c>
      <c r="M49" s="61">
        <f>VLOOKUP(Table1[[#This Row],[Affceted Equipment]],'Basic Data'!$A$2:$C$818,2,0)</f>
        <v>669.6</v>
      </c>
      <c r="N49" s="92">
        <f>IFERROR(VLOOKUP(Table1[[#This Row],[Affceted Equipment]],'Basic Data'!$A$2:$C$818,3,0),"")</f>
        <v>8.348190352703562E-2</v>
      </c>
      <c r="O49" s="115" t="s">
        <v>323</v>
      </c>
      <c r="P49" s="93" t="s">
        <v>1088</v>
      </c>
      <c r="Q49" s="93"/>
      <c r="R49" s="93" t="s">
        <v>1088</v>
      </c>
      <c r="S49" s="91">
        <v>0.41388888888888886</v>
      </c>
      <c r="T49" s="116"/>
      <c r="U49" s="116"/>
      <c r="V49" s="91">
        <v>0.42152777777777778</v>
      </c>
      <c r="W49" s="88">
        <f>IF(Table1[[#This Row],[Acknowledgemnet Time ]]="NA","",(Table1[[#This Row],[Acknowledgemnet Time ]]-Table1[[#This Row],[Fault Time]])*24)</f>
        <v>-9.9333333333333336</v>
      </c>
      <c r="X49" s="88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89">
        <f>IFERROR(Table1[[#This Row],[Breakdown Time]]*Table1[[#This Row],[Plant Equivalent Weightage]],"")</f>
        <v>1.5305015646623253E-2</v>
      </c>
      <c r="AD49" s="2">
        <v>0.15</v>
      </c>
      <c r="AE49" s="88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4">
        <f>YEAR(Table1[[#This Row],[Date]])+IF(MONTH(Table1[[#This Row],[Date]])&gt;=4,1,0)</f>
        <v>2026</v>
      </c>
      <c r="C50" s="73">
        <f>YEAR(Table1[[#This Row],[Date]])</f>
        <v>2025</v>
      </c>
      <c r="D50" s="73" t="s">
        <v>1082</v>
      </c>
      <c r="E50" s="73" t="s">
        <v>1082</v>
      </c>
      <c r="F50" s="170">
        <f>Table1[[#This Row],[Date]]-DAY(Table1[[#This Row],[Date]])+1</f>
        <v>45748</v>
      </c>
      <c r="G50">
        <f>DAY(EOMONTH(Table1[[#This Row],[Month Year]],0))</f>
        <v>30</v>
      </c>
      <c r="H50" s="103">
        <v>45749</v>
      </c>
      <c r="I50" s="75">
        <f>IFERROR(VLOOKUP(Table1[[#This Row],[Date]],Table3[[Date]:[Sunset Time (POA&lt;20 W/m2)]],3,0),"")</f>
        <v>0.26319444444444445</v>
      </c>
      <c r="J50" s="75">
        <f>IFERROR(VLOOKUP(Table1[[#This Row],[Date]],Table3[[Date]:[Sunset Time (POA&lt;20 W/m2)]],4,0),"")</f>
        <v>0.7729166666666667</v>
      </c>
      <c r="K50" s="76">
        <f>IFERROR((Table1[[#This Row],[Sunset Time (POA&lt;20 W/m2)]]-Table1[[#This Row],[Sunrise Time (POA&gt;20 W/m2)]])*24,"")</f>
        <v>12.233333333333333</v>
      </c>
      <c r="L50" s="107" t="s">
        <v>232</v>
      </c>
      <c r="M50" s="61">
        <f>VLOOKUP(Table1[[#This Row],[Affceted Equipment]],'Basic Data'!$A$2:$C$818,2,0)</f>
        <v>669.6</v>
      </c>
      <c r="N50" s="92">
        <f>IFERROR(VLOOKUP(Table1[[#This Row],[Affceted Equipment]],'Basic Data'!$A$2:$C$818,3,0),"")</f>
        <v>8.348190352703562E-2</v>
      </c>
      <c r="O50" s="115" t="s">
        <v>323</v>
      </c>
      <c r="P50" s="93" t="s">
        <v>1090</v>
      </c>
      <c r="Q50" s="93"/>
      <c r="R50" s="93" t="s">
        <v>1090</v>
      </c>
      <c r="S50" s="91">
        <v>0.41388888888888886</v>
      </c>
      <c r="T50" s="116"/>
      <c r="U50" s="116"/>
      <c r="V50" s="91">
        <v>0.42152777777777778</v>
      </c>
      <c r="W50" s="88">
        <f>IF(Table1[[#This Row],[Acknowledgemnet Time ]]="NA","",(Table1[[#This Row],[Acknowledgemnet Time ]]-Table1[[#This Row],[Fault Time]])*24)</f>
        <v>-9.9333333333333336</v>
      </c>
      <c r="X50" s="88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89">
        <f>IFERROR(Table1[[#This Row],[Breakdown Time]]*Table1[[#This Row],[Plant Equivalent Weightage]],"")</f>
        <v>1.5305015646623253E-2</v>
      </c>
      <c r="AD50" s="2">
        <v>0.15</v>
      </c>
      <c r="AE50" s="88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4">
        <f>YEAR(Table1[[#This Row],[Date]])+IF(MONTH(Table1[[#This Row],[Date]])&gt;=4,1,0)</f>
        <v>2026</v>
      </c>
      <c r="C51" s="73">
        <f>YEAR(Table1[[#This Row],[Date]])</f>
        <v>2025</v>
      </c>
      <c r="D51" s="73" t="s">
        <v>1082</v>
      </c>
      <c r="E51" s="73" t="s">
        <v>1082</v>
      </c>
      <c r="F51" s="170">
        <f>Table1[[#This Row],[Date]]-DAY(Table1[[#This Row],[Date]])+1</f>
        <v>45748</v>
      </c>
      <c r="G51">
        <f>DAY(EOMONTH(Table1[[#This Row],[Month Year]],0))</f>
        <v>30</v>
      </c>
      <c r="H51" s="103">
        <v>45749</v>
      </c>
      <c r="I51" s="75">
        <f>IFERROR(VLOOKUP(Table1[[#This Row],[Date]],Table3[[Date]:[Sunset Time (POA&lt;20 W/m2)]],3,0),"")</f>
        <v>0.26319444444444445</v>
      </c>
      <c r="J51" s="75">
        <f>IFERROR(VLOOKUP(Table1[[#This Row],[Date]],Table3[[Date]:[Sunset Time (POA&lt;20 W/m2)]],4,0),"")</f>
        <v>0.7729166666666667</v>
      </c>
      <c r="K51" s="76">
        <f>IFERROR((Table1[[#This Row],[Sunset Time (POA&lt;20 W/m2)]]-Table1[[#This Row],[Sunrise Time (POA&gt;20 W/m2)]])*24,"")</f>
        <v>12.233333333333333</v>
      </c>
      <c r="L51" s="107" t="s">
        <v>231</v>
      </c>
      <c r="M51" s="61">
        <f>VLOOKUP(Table1[[#This Row],[Affceted Equipment]],'Basic Data'!$A$2:$C$818,2,0)</f>
        <v>669.6</v>
      </c>
      <c r="N51" s="92">
        <f>IFERROR(VLOOKUP(Table1[[#This Row],[Affceted Equipment]],'Basic Data'!$A$2:$C$818,3,0),"")</f>
        <v>8.348190352703562E-2</v>
      </c>
      <c r="O51" s="115" t="s">
        <v>323</v>
      </c>
      <c r="P51" s="93" t="s">
        <v>1088</v>
      </c>
      <c r="Q51" s="93"/>
      <c r="R51" s="93" t="s">
        <v>1088</v>
      </c>
      <c r="S51" s="91">
        <v>0.42152777777777778</v>
      </c>
      <c r="T51" s="116"/>
      <c r="U51" s="116"/>
      <c r="V51" s="91">
        <v>0.48749999999999999</v>
      </c>
      <c r="W51" s="88">
        <f>IF(Table1[[#This Row],[Acknowledgemnet Time ]]="NA","",(Table1[[#This Row],[Acknowledgemnet Time ]]-Table1[[#This Row],[Fault Time]])*24)</f>
        <v>-10.116666666666667</v>
      </c>
      <c r="X51" s="88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89">
        <f>IFERROR(Table1[[#This Row],[Breakdown Time]]*Table1[[#This Row],[Plant Equivalent Weightage]],"")</f>
        <v>0.13217968058447305</v>
      </c>
      <c r="AD51" s="2">
        <v>1.45</v>
      </c>
      <c r="AE51" s="88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4">
        <f>YEAR(Table1[[#This Row],[Date]])+IF(MONTH(Table1[[#This Row],[Date]])&gt;=4,1,0)</f>
        <v>2026</v>
      </c>
      <c r="C52" s="73">
        <f>YEAR(Table1[[#This Row],[Date]])</f>
        <v>2025</v>
      </c>
      <c r="D52" s="73" t="s">
        <v>1082</v>
      </c>
      <c r="E52" s="73" t="s">
        <v>1082</v>
      </c>
      <c r="F52" s="170">
        <f>Table1[[#This Row],[Date]]-DAY(Table1[[#This Row],[Date]])+1</f>
        <v>45748</v>
      </c>
      <c r="G52">
        <f>DAY(EOMONTH(Table1[[#This Row],[Month Year]],0))</f>
        <v>30</v>
      </c>
      <c r="H52" s="103">
        <v>45749</v>
      </c>
      <c r="I52" s="75">
        <f>IFERROR(VLOOKUP(Table1[[#This Row],[Date]],Table3[[Date]:[Sunset Time (POA&lt;20 W/m2)]],3,0),"")</f>
        <v>0.26319444444444445</v>
      </c>
      <c r="J52" s="75">
        <f>IFERROR(VLOOKUP(Table1[[#This Row],[Date]],Table3[[Date]:[Sunset Time (POA&lt;20 W/m2)]],4,0),"")</f>
        <v>0.7729166666666667</v>
      </c>
      <c r="K52" s="76">
        <f>IFERROR((Table1[[#This Row],[Sunset Time (POA&lt;20 W/m2)]]-Table1[[#This Row],[Sunrise Time (POA&gt;20 W/m2)]])*24,"")</f>
        <v>12.233333333333333</v>
      </c>
      <c r="L52" s="107" t="s">
        <v>232</v>
      </c>
      <c r="M52" s="61">
        <f>VLOOKUP(Table1[[#This Row],[Affceted Equipment]],'Basic Data'!$A$2:$C$818,2,0)</f>
        <v>669.6</v>
      </c>
      <c r="N52" s="92">
        <f>IFERROR(VLOOKUP(Table1[[#This Row],[Affceted Equipment]],'Basic Data'!$A$2:$C$818,3,0),"")</f>
        <v>8.348190352703562E-2</v>
      </c>
      <c r="O52" s="115" t="s">
        <v>323</v>
      </c>
      <c r="P52" s="93" t="s">
        <v>1090</v>
      </c>
      <c r="Q52" s="93"/>
      <c r="R52" s="93" t="s">
        <v>1090</v>
      </c>
      <c r="S52" s="91">
        <v>0.42152777777777778</v>
      </c>
      <c r="T52" s="116"/>
      <c r="U52" s="116"/>
      <c r="V52" s="91">
        <v>0.48749999999999999</v>
      </c>
      <c r="W52" s="88">
        <f>IF(Table1[[#This Row],[Acknowledgemnet Time ]]="NA","",(Table1[[#This Row],[Acknowledgemnet Time ]]-Table1[[#This Row],[Fault Time]])*24)</f>
        <v>-10.116666666666667</v>
      </c>
      <c r="X52" s="88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89">
        <f>IFERROR(Table1[[#This Row],[Breakdown Time]]*Table1[[#This Row],[Plant Equivalent Weightage]],"")</f>
        <v>0.13217968058447305</v>
      </c>
      <c r="AD52" s="2">
        <v>1.45</v>
      </c>
      <c r="AE52" s="88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4">
        <f>YEAR(Table1[[#This Row],[Date]])+IF(MONTH(Table1[[#This Row],[Date]])&gt;=4,1,0)</f>
        <v>2026</v>
      </c>
      <c r="C53" s="73">
        <f>YEAR(Table1[[#This Row],[Date]])</f>
        <v>2025</v>
      </c>
      <c r="D53" s="73" t="s">
        <v>1082</v>
      </c>
      <c r="E53" s="73" t="s">
        <v>1082</v>
      </c>
      <c r="F53" s="170">
        <f>Table1[[#This Row],[Date]]-DAY(Table1[[#This Row],[Date]])+1</f>
        <v>45748</v>
      </c>
      <c r="G53">
        <f>DAY(EOMONTH(Table1[[#This Row],[Month Year]],0))</f>
        <v>30</v>
      </c>
      <c r="H53" s="103">
        <v>45749</v>
      </c>
      <c r="I53" s="75">
        <f>IFERROR(VLOOKUP(Table1[[#This Row],[Date]],Table3[[Date]:[Sunset Time (POA&lt;20 W/m2)]],3,0),"")</f>
        <v>0.26319444444444445</v>
      </c>
      <c r="J53" s="75">
        <f>IFERROR(VLOOKUP(Table1[[#This Row],[Date]],Table3[[Date]:[Sunset Time (POA&lt;20 W/m2)]],4,0),"")</f>
        <v>0.7729166666666667</v>
      </c>
      <c r="K53" s="76">
        <f>IFERROR((Table1[[#This Row],[Sunset Time (POA&lt;20 W/m2)]]-Table1[[#This Row],[Sunrise Time (POA&gt;20 W/m2)]])*24,"")</f>
        <v>12.233333333333333</v>
      </c>
      <c r="L53" s="107" t="s">
        <v>180</v>
      </c>
      <c r="M53" s="61">
        <f>VLOOKUP(Table1[[#This Row],[Affceted Equipment]],'Basic Data'!$A$2:$C$818,2,0)</f>
        <v>2694.6</v>
      </c>
      <c r="N53" s="92">
        <f>IFERROR(VLOOKUP(Table1[[#This Row],[Affceted Equipment]],'Basic Data'!$A$2:$C$818,3,0),"")</f>
        <v>0.33594733758057077</v>
      </c>
      <c r="O53" s="115" t="s">
        <v>323</v>
      </c>
      <c r="P53" s="93" t="s">
        <v>1089</v>
      </c>
      <c r="Q53" s="93"/>
      <c r="R53" s="93" t="s">
        <v>1089</v>
      </c>
      <c r="S53" s="91">
        <v>0.48749999999999999</v>
      </c>
      <c r="T53" s="116"/>
      <c r="U53" s="116"/>
      <c r="V53" s="91">
        <v>0.49305555555555558</v>
      </c>
      <c r="W53" s="88">
        <f>IF(Table1[[#This Row],[Acknowledgemnet Time ]]="NA","",(Table1[[#This Row],[Acknowledgemnet Time ]]-Table1[[#This Row],[Fault Time]])*24)</f>
        <v>-11.7</v>
      </c>
      <c r="X53" s="88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89">
        <f>IFERROR(Table1[[#This Row],[Breakdown Time]]*Table1[[#This Row],[Plant Equivalent Weightage]],"")</f>
        <v>4.479297834407639E-2</v>
      </c>
      <c r="AD53" s="2">
        <v>0.18</v>
      </c>
      <c r="AE53" s="88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4">
        <f>YEAR(Table1[[#This Row],[Date]])+IF(MONTH(Table1[[#This Row],[Date]])&gt;=4,1,0)</f>
        <v>2026</v>
      </c>
      <c r="C54" s="73">
        <f>YEAR(Table1[[#This Row],[Date]])</f>
        <v>2025</v>
      </c>
      <c r="D54" s="73" t="s">
        <v>1082</v>
      </c>
      <c r="E54" s="73" t="s">
        <v>1082</v>
      </c>
      <c r="F54" s="170">
        <f>Table1[[#This Row],[Date]]-DAY(Table1[[#This Row],[Date]])+1</f>
        <v>45748</v>
      </c>
      <c r="G54">
        <f>DAY(EOMONTH(Table1[[#This Row],[Month Year]],0))</f>
        <v>30</v>
      </c>
      <c r="H54" s="103">
        <v>45749</v>
      </c>
      <c r="I54" s="75">
        <f>IFERROR(VLOOKUP(Table1[[#This Row],[Date]],Table3[[Date]:[Sunset Time (POA&lt;20 W/m2)]],3,0),"")</f>
        <v>0.26319444444444445</v>
      </c>
      <c r="J54" s="75">
        <f>IFERROR(VLOOKUP(Table1[[#This Row],[Date]],Table3[[Date]:[Sunset Time (POA&lt;20 W/m2)]],4,0),"")</f>
        <v>0.7729166666666667</v>
      </c>
      <c r="K54" s="76">
        <f>IFERROR((Table1[[#This Row],[Sunset Time (POA&lt;20 W/m2)]]-Table1[[#This Row],[Sunrise Time (POA&gt;20 W/m2)]])*24,"")</f>
        <v>12.233333333333333</v>
      </c>
      <c r="L54" s="107" t="s">
        <v>231</v>
      </c>
      <c r="M54" s="61">
        <f>VLOOKUP(Table1[[#This Row],[Affceted Equipment]],'Basic Data'!$A$2:$C$818,2,0)</f>
        <v>669.6</v>
      </c>
      <c r="N54" s="92">
        <f>IFERROR(VLOOKUP(Table1[[#This Row],[Affceted Equipment]],'Basic Data'!$A$2:$C$818,3,0),"")</f>
        <v>8.348190352703562E-2</v>
      </c>
      <c r="O54" s="115" t="s">
        <v>323</v>
      </c>
      <c r="P54" s="93" t="s">
        <v>1088</v>
      </c>
      <c r="Q54" s="93"/>
      <c r="R54" s="93" t="s">
        <v>1088</v>
      </c>
      <c r="S54" s="91">
        <v>0.49305555555555558</v>
      </c>
      <c r="T54" s="116"/>
      <c r="U54" s="116"/>
      <c r="V54" s="91">
        <v>0.5083333333333333</v>
      </c>
      <c r="W54" s="88">
        <f>IF(Table1[[#This Row],[Acknowledgemnet Time ]]="NA","",(Table1[[#This Row],[Acknowledgemnet Time ]]-Table1[[#This Row],[Fault Time]])*24)</f>
        <v>-11.833333333333334</v>
      </c>
      <c r="X54" s="88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89">
        <f>IFERROR(Table1[[#This Row],[Breakdown Time]]*Table1[[#This Row],[Plant Equivalent Weightage]],"")</f>
        <v>3.0610031293246284E-2</v>
      </c>
      <c r="AD54" s="2">
        <v>0.39</v>
      </c>
      <c r="AE54" s="88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4">
        <f>YEAR(Table1[[#This Row],[Date]])+IF(MONTH(Table1[[#This Row],[Date]])&gt;=4,1,0)</f>
        <v>2026</v>
      </c>
      <c r="C55" s="73">
        <f>YEAR(Table1[[#This Row],[Date]])</f>
        <v>2025</v>
      </c>
      <c r="D55" s="73" t="s">
        <v>1082</v>
      </c>
      <c r="E55" s="73" t="s">
        <v>1082</v>
      </c>
      <c r="F55" s="170">
        <f>Table1[[#This Row],[Date]]-DAY(Table1[[#This Row],[Date]])+1</f>
        <v>45748</v>
      </c>
      <c r="G55">
        <f>DAY(EOMONTH(Table1[[#This Row],[Month Year]],0))</f>
        <v>30</v>
      </c>
      <c r="H55" s="103">
        <v>45749</v>
      </c>
      <c r="I55" s="75">
        <f>IFERROR(VLOOKUP(Table1[[#This Row],[Date]],Table3[[Date]:[Sunset Time (POA&lt;20 W/m2)]],3,0),"")</f>
        <v>0.26319444444444445</v>
      </c>
      <c r="J55" s="75">
        <f>IFERROR(VLOOKUP(Table1[[#This Row],[Date]],Table3[[Date]:[Sunset Time (POA&lt;20 W/m2)]],4,0),"")</f>
        <v>0.7729166666666667</v>
      </c>
      <c r="K55" s="76">
        <f>IFERROR((Table1[[#This Row],[Sunset Time (POA&lt;20 W/m2)]]-Table1[[#This Row],[Sunrise Time (POA&gt;20 W/m2)]])*24,"")</f>
        <v>12.233333333333333</v>
      </c>
      <c r="L55" s="107" t="s">
        <v>232</v>
      </c>
      <c r="M55" s="61">
        <f>VLOOKUP(Table1[[#This Row],[Affceted Equipment]],'Basic Data'!$A$2:$C$818,2,0)</f>
        <v>669.6</v>
      </c>
      <c r="N55" s="92">
        <f>IFERROR(VLOOKUP(Table1[[#This Row],[Affceted Equipment]],'Basic Data'!$A$2:$C$818,3,0),"")</f>
        <v>8.348190352703562E-2</v>
      </c>
      <c r="O55" s="115" t="s">
        <v>323</v>
      </c>
      <c r="P55" s="93" t="s">
        <v>1090</v>
      </c>
      <c r="Q55" s="93"/>
      <c r="R55" s="93" t="s">
        <v>1090</v>
      </c>
      <c r="S55" s="91">
        <v>0.49305555555555558</v>
      </c>
      <c r="T55" s="116"/>
      <c r="U55" s="116"/>
      <c r="V55" s="91">
        <v>0.5083333333333333</v>
      </c>
      <c r="W55" s="88">
        <f>IF(Table1[[#This Row],[Acknowledgemnet Time ]]="NA","",(Table1[[#This Row],[Acknowledgemnet Time ]]-Table1[[#This Row],[Fault Time]])*24)</f>
        <v>-11.833333333333334</v>
      </c>
      <c r="X55" s="88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89">
        <f>IFERROR(Table1[[#This Row],[Breakdown Time]]*Table1[[#This Row],[Plant Equivalent Weightage]],"")</f>
        <v>3.0610031293246284E-2</v>
      </c>
      <c r="AD55" s="2">
        <v>0.39</v>
      </c>
      <c r="AE55" s="88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4">
        <f>YEAR(Table1[[#This Row],[Date]])+IF(MONTH(Table1[[#This Row],[Date]])&gt;=4,1,0)</f>
        <v>2026</v>
      </c>
      <c r="C56" s="73">
        <f>YEAR(Table1[[#This Row],[Date]])</f>
        <v>2025</v>
      </c>
      <c r="D56" s="73" t="s">
        <v>1082</v>
      </c>
      <c r="E56" s="73" t="s">
        <v>1082</v>
      </c>
      <c r="F56" s="170">
        <f>Table1[[#This Row],[Date]]-DAY(Table1[[#This Row],[Date]])+1</f>
        <v>45748</v>
      </c>
      <c r="G56">
        <f>DAY(EOMONTH(Table1[[#This Row],[Month Year]],0))</f>
        <v>30</v>
      </c>
      <c r="H56" s="103">
        <v>45749</v>
      </c>
      <c r="I56" s="75">
        <f>IFERROR(VLOOKUP(Table1[[#This Row],[Date]],Table3[[Date]:[Sunset Time (POA&lt;20 W/m2)]],3,0),"")</f>
        <v>0.26319444444444445</v>
      </c>
      <c r="J56" s="75">
        <f>IFERROR(VLOOKUP(Table1[[#This Row],[Date]],Table3[[Date]:[Sunset Time (POA&lt;20 W/m2)]],4,0),"")</f>
        <v>0.7729166666666667</v>
      </c>
      <c r="K56" s="76">
        <f>IFERROR((Table1[[#This Row],[Sunset Time (POA&lt;20 W/m2)]]-Table1[[#This Row],[Sunrise Time (POA&gt;20 W/m2)]])*24,"")</f>
        <v>12.233333333333333</v>
      </c>
      <c r="L56" s="107" t="s">
        <v>180</v>
      </c>
      <c r="M56" s="61">
        <f>VLOOKUP(Table1[[#This Row],[Affceted Equipment]],'Basic Data'!$A$2:$C$818,2,0)</f>
        <v>2694.6</v>
      </c>
      <c r="N56" s="92">
        <f>IFERROR(VLOOKUP(Table1[[#This Row],[Affceted Equipment]],'Basic Data'!$A$2:$C$818,3,0),"")</f>
        <v>0.33594733758057077</v>
      </c>
      <c r="O56" s="115" t="s">
        <v>323</v>
      </c>
      <c r="P56" s="93" t="s">
        <v>1089</v>
      </c>
      <c r="Q56" s="93"/>
      <c r="R56" s="93" t="s">
        <v>1089</v>
      </c>
      <c r="S56" s="91">
        <v>0.5083333333333333</v>
      </c>
      <c r="T56" s="116"/>
      <c r="U56" s="116"/>
      <c r="V56" s="91">
        <v>0.5131944444444444</v>
      </c>
      <c r="W56" s="88">
        <f>IF(Table1[[#This Row],[Acknowledgemnet Time ]]="NA","",(Table1[[#This Row],[Acknowledgemnet Time ]]-Table1[[#This Row],[Fault Time]])*24)</f>
        <v>-12.2</v>
      </c>
      <c r="X56" s="88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89">
        <f>IFERROR(Table1[[#This Row],[Breakdown Time]]*Table1[[#This Row],[Plant Equivalent Weightage]],"")</f>
        <v>3.9193856051066449E-2</v>
      </c>
      <c r="AD56" s="2">
        <v>0.13</v>
      </c>
      <c r="AE56" s="88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4">
        <f>YEAR(Table1[[#This Row],[Date]])+IF(MONTH(Table1[[#This Row],[Date]])&gt;=4,1,0)</f>
        <v>2026</v>
      </c>
      <c r="C57" s="73">
        <f>YEAR(Table1[[#This Row],[Date]])</f>
        <v>2025</v>
      </c>
      <c r="D57" s="73" t="s">
        <v>1082</v>
      </c>
      <c r="E57" s="73" t="s">
        <v>1082</v>
      </c>
      <c r="F57" s="170">
        <f>Table1[[#This Row],[Date]]-DAY(Table1[[#This Row],[Date]])+1</f>
        <v>45748</v>
      </c>
      <c r="G57">
        <f>DAY(EOMONTH(Table1[[#This Row],[Month Year]],0))</f>
        <v>30</v>
      </c>
      <c r="H57" s="103">
        <v>45749</v>
      </c>
      <c r="I57" s="75">
        <f>IFERROR(VLOOKUP(Table1[[#This Row],[Date]],Table3[[Date]:[Sunset Time (POA&lt;20 W/m2)]],3,0),"")</f>
        <v>0.26319444444444445</v>
      </c>
      <c r="J57" s="75">
        <f>IFERROR(VLOOKUP(Table1[[#This Row],[Date]],Table3[[Date]:[Sunset Time (POA&lt;20 W/m2)]],4,0),"")</f>
        <v>0.7729166666666667</v>
      </c>
      <c r="K57" s="76">
        <f>IFERROR((Table1[[#This Row],[Sunset Time (POA&lt;20 W/m2)]]-Table1[[#This Row],[Sunrise Time (POA&gt;20 W/m2)]])*24,"")</f>
        <v>12.233333333333333</v>
      </c>
      <c r="L57" s="107" t="s">
        <v>231</v>
      </c>
      <c r="M57" s="61">
        <f>VLOOKUP(Table1[[#This Row],[Affceted Equipment]],'Basic Data'!$A$2:$C$818,2,0)</f>
        <v>669.6</v>
      </c>
      <c r="N57" s="92">
        <f>IFERROR(VLOOKUP(Table1[[#This Row],[Affceted Equipment]],'Basic Data'!$A$2:$C$818,3,0),"")</f>
        <v>8.348190352703562E-2</v>
      </c>
      <c r="O57" s="115" t="s">
        <v>323</v>
      </c>
      <c r="P57" s="93" t="s">
        <v>1088</v>
      </c>
      <c r="Q57" s="93"/>
      <c r="R57" s="93" t="s">
        <v>1088</v>
      </c>
      <c r="S57" s="91">
        <v>0.5131944444444444</v>
      </c>
      <c r="T57" s="116"/>
      <c r="U57" s="116"/>
      <c r="V57" s="91">
        <v>0.53055555555555556</v>
      </c>
      <c r="W57" s="88">
        <f>IF(Table1[[#This Row],[Acknowledgemnet Time ]]="NA","",(Table1[[#This Row],[Acknowledgemnet Time ]]-Table1[[#This Row],[Fault Time]])*24)</f>
        <v>-12.316666666666666</v>
      </c>
      <c r="X57" s="88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89">
        <f>IFERROR(Table1[[#This Row],[Breakdown Time]]*Table1[[#This Row],[Plant Equivalent Weightage]],"")</f>
        <v>3.4784126469598275E-2</v>
      </c>
      <c r="AD57" s="2">
        <v>0.42</v>
      </c>
      <c r="AE57" s="88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4">
        <f>YEAR(Table1[[#This Row],[Date]])+IF(MONTH(Table1[[#This Row],[Date]])&gt;=4,1,0)</f>
        <v>2026</v>
      </c>
      <c r="C58" s="73">
        <f>YEAR(Table1[[#This Row],[Date]])</f>
        <v>2025</v>
      </c>
      <c r="D58" s="73" t="s">
        <v>1082</v>
      </c>
      <c r="E58" s="73" t="s">
        <v>1082</v>
      </c>
      <c r="F58" s="170">
        <f>Table1[[#This Row],[Date]]-DAY(Table1[[#This Row],[Date]])+1</f>
        <v>45748</v>
      </c>
      <c r="G58">
        <f>DAY(EOMONTH(Table1[[#This Row],[Month Year]],0))</f>
        <v>30</v>
      </c>
      <c r="H58" s="103">
        <v>45749</v>
      </c>
      <c r="I58" s="75">
        <f>IFERROR(VLOOKUP(Table1[[#This Row],[Date]],Table3[[Date]:[Sunset Time (POA&lt;20 W/m2)]],3,0),"")</f>
        <v>0.26319444444444445</v>
      </c>
      <c r="J58" s="75">
        <f>IFERROR(VLOOKUP(Table1[[#This Row],[Date]],Table3[[Date]:[Sunset Time (POA&lt;20 W/m2)]],4,0),"")</f>
        <v>0.7729166666666667</v>
      </c>
      <c r="K58" s="76">
        <f>IFERROR((Table1[[#This Row],[Sunset Time (POA&lt;20 W/m2)]]-Table1[[#This Row],[Sunrise Time (POA&gt;20 W/m2)]])*24,"")</f>
        <v>12.233333333333333</v>
      </c>
      <c r="L58" s="107" t="s">
        <v>232</v>
      </c>
      <c r="M58" s="61">
        <f>VLOOKUP(Table1[[#This Row],[Affceted Equipment]],'Basic Data'!$A$2:$C$818,2,0)</f>
        <v>669.6</v>
      </c>
      <c r="N58" s="92">
        <f>IFERROR(VLOOKUP(Table1[[#This Row],[Affceted Equipment]],'Basic Data'!$A$2:$C$818,3,0),"")</f>
        <v>8.348190352703562E-2</v>
      </c>
      <c r="O58" s="115" t="s">
        <v>323</v>
      </c>
      <c r="P58" s="93" t="s">
        <v>1090</v>
      </c>
      <c r="Q58" s="93"/>
      <c r="R58" s="93" t="s">
        <v>1090</v>
      </c>
      <c r="S58" s="91">
        <v>0.5131944444444444</v>
      </c>
      <c r="T58" s="116"/>
      <c r="U58" s="116"/>
      <c r="V58" s="91">
        <v>0.53055555555555556</v>
      </c>
      <c r="W58" s="88">
        <f>IF(Table1[[#This Row],[Acknowledgemnet Time ]]="NA","",(Table1[[#This Row],[Acknowledgemnet Time ]]-Table1[[#This Row],[Fault Time]])*24)</f>
        <v>-12.316666666666666</v>
      </c>
      <c r="X58" s="88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89">
        <f>IFERROR(Table1[[#This Row],[Breakdown Time]]*Table1[[#This Row],[Plant Equivalent Weightage]],"")</f>
        <v>3.4784126469598275E-2</v>
      </c>
      <c r="AD58" s="2">
        <v>0.42</v>
      </c>
      <c r="AE58" s="88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4">
        <f>YEAR(Table1[[#This Row],[Date]])+IF(MONTH(Table1[[#This Row],[Date]])&gt;=4,1,0)</f>
        <v>2026</v>
      </c>
      <c r="C59" s="73">
        <f>YEAR(Table1[[#This Row],[Date]])</f>
        <v>2025</v>
      </c>
      <c r="D59" s="73" t="s">
        <v>1082</v>
      </c>
      <c r="E59" s="73" t="s">
        <v>1082</v>
      </c>
      <c r="F59" s="170">
        <f>Table1[[#This Row],[Date]]-DAY(Table1[[#This Row],[Date]])+1</f>
        <v>45748</v>
      </c>
      <c r="G59">
        <f>DAY(EOMONTH(Table1[[#This Row],[Month Year]],0))</f>
        <v>30</v>
      </c>
      <c r="H59" s="103">
        <v>45749</v>
      </c>
      <c r="I59" s="75">
        <f>IFERROR(VLOOKUP(Table1[[#This Row],[Date]],Table3[[Date]:[Sunset Time (POA&lt;20 W/m2)]],3,0),"")</f>
        <v>0.26319444444444445</v>
      </c>
      <c r="J59" s="75">
        <f>IFERROR(VLOOKUP(Table1[[#This Row],[Date]],Table3[[Date]:[Sunset Time (POA&lt;20 W/m2)]],4,0),"")</f>
        <v>0.7729166666666667</v>
      </c>
      <c r="K59" s="76">
        <f>IFERROR((Table1[[#This Row],[Sunset Time (POA&lt;20 W/m2)]]-Table1[[#This Row],[Sunrise Time (POA&gt;20 W/m2)]])*24,"")</f>
        <v>12.233333333333333</v>
      </c>
      <c r="L59" s="107" t="s">
        <v>180</v>
      </c>
      <c r="M59" s="61">
        <f>VLOOKUP(Table1[[#This Row],[Affceted Equipment]],'Basic Data'!$A$2:$C$818,2,0)</f>
        <v>2694.6</v>
      </c>
      <c r="N59" s="92">
        <f>IFERROR(VLOOKUP(Table1[[#This Row],[Affceted Equipment]],'Basic Data'!$A$2:$C$818,3,0),"")</f>
        <v>0.33594733758057077</v>
      </c>
      <c r="O59" s="115" t="s">
        <v>323</v>
      </c>
      <c r="P59" s="93" t="s">
        <v>1089</v>
      </c>
      <c r="Q59" s="93"/>
      <c r="R59" s="93" t="s">
        <v>1089</v>
      </c>
      <c r="S59" s="91">
        <v>0.53055555555555556</v>
      </c>
      <c r="T59" s="116"/>
      <c r="U59" s="116"/>
      <c r="V59" s="91">
        <v>0.53611111111111109</v>
      </c>
      <c r="W59" s="88">
        <f>IF(Table1[[#This Row],[Acknowledgemnet Time ]]="NA","",(Table1[[#This Row],[Acknowledgemnet Time ]]-Table1[[#This Row],[Fault Time]])*24)</f>
        <v>-12.733333333333334</v>
      </c>
      <c r="X59" s="88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89">
        <f>IFERROR(Table1[[#This Row],[Breakdown Time]]*Table1[[#This Row],[Plant Equivalent Weightage]],"")</f>
        <v>4.4792978344075945E-2</v>
      </c>
      <c r="AD59" s="2">
        <v>0.14000000000000001</v>
      </c>
      <c r="AE59" s="88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4">
        <f>YEAR(Table1[[#This Row],[Date]])+IF(MONTH(Table1[[#This Row],[Date]])&gt;=4,1,0)</f>
        <v>2026</v>
      </c>
      <c r="C60" s="73">
        <f>YEAR(Table1[[#This Row],[Date]])</f>
        <v>2025</v>
      </c>
      <c r="D60" s="73" t="s">
        <v>1082</v>
      </c>
      <c r="E60" s="73" t="s">
        <v>1082</v>
      </c>
      <c r="F60" s="170">
        <f>Table1[[#This Row],[Date]]-DAY(Table1[[#This Row],[Date]])+1</f>
        <v>45748</v>
      </c>
      <c r="G60">
        <f>DAY(EOMONTH(Table1[[#This Row],[Month Year]],0))</f>
        <v>30</v>
      </c>
      <c r="H60" s="103">
        <v>45749</v>
      </c>
      <c r="I60" s="75">
        <f>IFERROR(VLOOKUP(Table1[[#This Row],[Date]],Table3[[Date]:[Sunset Time (POA&lt;20 W/m2)]],3,0),"")</f>
        <v>0.26319444444444445</v>
      </c>
      <c r="J60" s="75">
        <f>IFERROR(VLOOKUP(Table1[[#This Row],[Date]],Table3[[Date]:[Sunset Time (POA&lt;20 W/m2)]],4,0),"")</f>
        <v>0.7729166666666667</v>
      </c>
      <c r="K60" s="76">
        <f>IFERROR((Table1[[#This Row],[Sunset Time (POA&lt;20 W/m2)]]-Table1[[#This Row],[Sunrise Time (POA&gt;20 W/m2)]])*24,"")</f>
        <v>12.233333333333333</v>
      </c>
      <c r="L60" s="107" t="s">
        <v>231</v>
      </c>
      <c r="M60" s="61">
        <f>VLOOKUP(Table1[[#This Row],[Affceted Equipment]],'Basic Data'!$A$2:$C$818,2,0)</f>
        <v>669.6</v>
      </c>
      <c r="N60" s="92">
        <f>IFERROR(VLOOKUP(Table1[[#This Row],[Affceted Equipment]],'Basic Data'!$A$2:$C$818,3,0),"")</f>
        <v>8.348190352703562E-2</v>
      </c>
      <c r="O60" s="115" t="s">
        <v>323</v>
      </c>
      <c r="P60" s="93" t="s">
        <v>1088</v>
      </c>
      <c r="Q60" s="93"/>
      <c r="R60" s="93" t="s">
        <v>1088</v>
      </c>
      <c r="S60" s="91">
        <v>0.53611111111111109</v>
      </c>
      <c r="T60" s="116"/>
      <c r="U60" s="116"/>
      <c r="V60" s="91">
        <v>0.54583333333333328</v>
      </c>
      <c r="W60" s="88">
        <f>IF(Table1[[#This Row],[Acknowledgemnet Time ]]="NA","",(Table1[[#This Row],[Acknowledgemnet Time ]]-Table1[[#This Row],[Fault Time]])*24)</f>
        <v>-12.866666666666667</v>
      </c>
      <c r="X60" s="88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89">
        <f>IFERROR(Table1[[#This Row],[Breakdown Time]]*Table1[[#This Row],[Plant Equivalent Weightage]],"")</f>
        <v>1.9479110822974908E-2</v>
      </c>
      <c r="AD60" s="2">
        <v>0.28999999999999998</v>
      </c>
      <c r="AE60" s="88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4">
        <f>YEAR(Table1[[#This Row],[Date]])+IF(MONTH(Table1[[#This Row],[Date]])&gt;=4,1,0)</f>
        <v>2026</v>
      </c>
      <c r="C61" s="73">
        <f>YEAR(Table1[[#This Row],[Date]])</f>
        <v>2025</v>
      </c>
      <c r="D61" s="73" t="s">
        <v>1082</v>
      </c>
      <c r="E61" s="73" t="s">
        <v>1082</v>
      </c>
      <c r="F61" s="170">
        <f>Table1[[#This Row],[Date]]-DAY(Table1[[#This Row],[Date]])+1</f>
        <v>45748</v>
      </c>
      <c r="G61">
        <f>DAY(EOMONTH(Table1[[#This Row],[Month Year]],0))</f>
        <v>30</v>
      </c>
      <c r="H61" s="103">
        <v>45749</v>
      </c>
      <c r="I61" s="75">
        <f>IFERROR(VLOOKUP(Table1[[#This Row],[Date]],Table3[[Date]:[Sunset Time (POA&lt;20 W/m2)]],3,0),"")</f>
        <v>0.26319444444444445</v>
      </c>
      <c r="J61" s="75">
        <f>IFERROR(VLOOKUP(Table1[[#This Row],[Date]],Table3[[Date]:[Sunset Time (POA&lt;20 W/m2)]],4,0),"")</f>
        <v>0.7729166666666667</v>
      </c>
      <c r="K61" s="76">
        <f>IFERROR((Table1[[#This Row],[Sunset Time (POA&lt;20 W/m2)]]-Table1[[#This Row],[Sunrise Time (POA&gt;20 W/m2)]])*24,"")</f>
        <v>12.233333333333333</v>
      </c>
      <c r="L61" s="107" t="s">
        <v>232</v>
      </c>
      <c r="M61" s="61">
        <f>VLOOKUP(Table1[[#This Row],[Affceted Equipment]],'Basic Data'!$A$2:$C$818,2,0)</f>
        <v>669.6</v>
      </c>
      <c r="N61" s="92">
        <f>IFERROR(VLOOKUP(Table1[[#This Row],[Affceted Equipment]],'Basic Data'!$A$2:$C$818,3,0),"")</f>
        <v>8.348190352703562E-2</v>
      </c>
      <c r="O61" s="115" t="s">
        <v>323</v>
      </c>
      <c r="P61" s="93" t="s">
        <v>1090</v>
      </c>
      <c r="Q61" s="93"/>
      <c r="R61" s="93" t="s">
        <v>1090</v>
      </c>
      <c r="S61" s="91">
        <v>0.53611111111111109</v>
      </c>
      <c r="T61" s="116"/>
      <c r="U61" s="116"/>
      <c r="V61" s="91">
        <v>0.54583333333333328</v>
      </c>
      <c r="W61" s="88">
        <f>IF(Table1[[#This Row],[Acknowledgemnet Time ]]="NA","",(Table1[[#This Row],[Acknowledgemnet Time ]]-Table1[[#This Row],[Fault Time]])*24)</f>
        <v>-12.866666666666667</v>
      </c>
      <c r="X61" s="88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89">
        <f>IFERROR(Table1[[#This Row],[Breakdown Time]]*Table1[[#This Row],[Plant Equivalent Weightage]],"")</f>
        <v>1.9479110822974908E-2</v>
      </c>
      <c r="AD61" s="2">
        <v>0.28999999999999998</v>
      </c>
      <c r="AE61" s="88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4">
        <f>YEAR(Table1[[#This Row],[Date]])+IF(MONTH(Table1[[#This Row],[Date]])&gt;=4,1,0)</f>
        <v>2026</v>
      </c>
      <c r="C62" s="73">
        <f>YEAR(Table1[[#This Row],[Date]])</f>
        <v>2025</v>
      </c>
      <c r="D62" s="73" t="s">
        <v>1082</v>
      </c>
      <c r="E62" s="73" t="s">
        <v>1082</v>
      </c>
      <c r="F62" s="170">
        <f>Table1[[#This Row],[Date]]-DAY(Table1[[#This Row],[Date]])+1</f>
        <v>45748</v>
      </c>
      <c r="G62">
        <f>DAY(EOMONTH(Table1[[#This Row],[Month Year]],0))</f>
        <v>30</v>
      </c>
      <c r="H62" s="103">
        <v>45749</v>
      </c>
      <c r="I62" s="75">
        <f>IFERROR(VLOOKUP(Table1[[#This Row],[Date]],Table3[[Date]:[Sunset Time (POA&lt;20 W/m2)]],3,0),"")</f>
        <v>0.26319444444444445</v>
      </c>
      <c r="J62" s="75">
        <f>IFERROR(VLOOKUP(Table1[[#This Row],[Date]],Table3[[Date]:[Sunset Time (POA&lt;20 W/m2)]],4,0),"")</f>
        <v>0.7729166666666667</v>
      </c>
      <c r="K62" s="76">
        <f>IFERROR((Table1[[#This Row],[Sunset Time (POA&lt;20 W/m2)]]-Table1[[#This Row],[Sunrise Time (POA&gt;20 W/m2)]])*24,"")</f>
        <v>12.233333333333333</v>
      </c>
      <c r="L62" s="107" t="s">
        <v>180</v>
      </c>
      <c r="M62" s="61">
        <f>VLOOKUP(Table1[[#This Row],[Affceted Equipment]],'Basic Data'!$A$2:$C$818,2,0)</f>
        <v>2694.6</v>
      </c>
      <c r="N62" s="92">
        <f>IFERROR(VLOOKUP(Table1[[#This Row],[Affceted Equipment]],'Basic Data'!$A$2:$C$818,3,0),"")</f>
        <v>0.33594733758057077</v>
      </c>
      <c r="O62" s="115" t="s">
        <v>323</v>
      </c>
      <c r="P62" s="93" t="s">
        <v>1089</v>
      </c>
      <c r="Q62" s="93"/>
      <c r="R62" s="93" t="s">
        <v>1089</v>
      </c>
      <c r="S62" s="91">
        <v>0.54583333333333328</v>
      </c>
      <c r="T62" s="116"/>
      <c r="U62" s="116"/>
      <c r="V62" s="91">
        <v>0.60347222222222219</v>
      </c>
      <c r="W62" s="88">
        <f>IF(Table1[[#This Row],[Acknowledgemnet Time ]]="NA","",(Table1[[#This Row],[Acknowledgemnet Time ]]-Table1[[#This Row],[Fault Time]])*24)</f>
        <v>-13.099999999999998</v>
      </c>
      <c r="X62" s="88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89">
        <f>IFERROR(Table1[[#This Row],[Breakdown Time]]*Table1[[#This Row],[Plant Equivalent Weightage]],"")</f>
        <v>0.46472715031978973</v>
      </c>
      <c r="AD62" s="2">
        <v>1.18</v>
      </c>
      <c r="AE62" s="88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4">
        <f>YEAR(Table1[[#This Row],[Date]])+IF(MONTH(Table1[[#This Row],[Date]])&gt;=4,1,0)</f>
        <v>2026</v>
      </c>
      <c r="C63" s="73">
        <f>YEAR(Table1[[#This Row],[Date]])</f>
        <v>2025</v>
      </c>
      <c r="D63" s="73" t="s">
        <v>1082</v>
      </c>
      <c r="E63" s="73" t="s">
        <v>1082</v>
      </c>
      <c r="F63" s="170">
        <f>Table1[[#This Row],[Date]]-DAY(Table1[[#This Row],[Date]])+1</f>
        <v>45748</v>
      </c>
      <c r="G63">
        <f>DAY(EOMONTH(Table1[[#This Row],[Month Year]],0))</f>
        <v>30</v>
      </c>
      <c r="H63" s="103">
        <v>45749</v>
      </c>
      <c r="I63" s="75">
        <f>IFERROR(VLOOKUP(Table1[[#This Row],[Date]],Table3[[Date]:[Sunset Time (POA&lt;20 W/m2)]],3,0),"")</f>
        <v>0.26319444444444445</v>
      </c>
      <c r="J63" s="75">
        <f>IFERROR(VLOOKUP(Table1[[#This Row],[Date]],Table3[[Date]:[Sunset Time (POA&lt;20 W/m2)]],4,0),"")</f>
        <v>0.7729166666666667</v>
      </c>
      <c r="K63" s="76">
        <f>IFERROR((Table1[[#This Row],[Sunset Time (POA&lt;20 W/m2)]]-Table1[[#This Row],[Sunrise Time (POA&gt;20 W/m2)]])*24,"")</f>
        <v>12.233333333333333</v>
      </c>
      <c r="L63" s="107" t="s">
        <v>231</v>
      </c>
      <c r="M63" s="61">
        <f>VLOOKUP(Table1[[#This Row],[Affceted Equipment]],'Basic Data'!$A$2:$C$818,2,0)</f>
        <v>669.6</v>
      </c>
      <c r="N63" s="92">
        <f>IFERROR(VLOOKUP(Table1[[#This Row],[Affceted Equipment]],'Basic Data'!$A$2:$C$818,3,0),"")</f>
        <v>8.348190352703562E-2</v>
      </c>
      <c r="O63" s="115" t="s">
        <v>323</v>
      </c>
      <c r="P63" s="93" t="s">
        <v>1088</v>
      </c>
      <c r="Q63" s="93"/>
      <c r="R63" s="93" t="s">
        <v>1088</v>
      </c>
      <c r="S63" s="91">
        <v>0.60347222222222219</v>
      </c>
      <c r="T63" s="116"/>
      <c r="U63" s="116"/>
      <c r="V63" s="91">
        <v>0.69444444444444442</v>
      </c>
      <c r="W63" s="88">
        <f>IF(Table1[[#This Row],[Acknowledgemnet Time ]]="NA","",(Table1[[#This Row],[Acknowledgemnet Time ]]-Table1[[#This Row],[Fault Time]])*24)</f>
        <v>-14.483333333333333</v>
      </c>
      <c r="X63" s="88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89">
        <f>IFERROR(Table1[[#This Row],[Breakdown Time]]*Table1[[#This Row],[Plant Equivalent Weightage]],"")</f>
        <v>0.18226882270069444</v>
      </c>
      <c r="AD63" s="2">
        <v>1.24</v>
      </c>
      <c r="AE63" s="88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4">
        <f>YEAR(Table1[[#This Row],[Date]])+IF(MONTH(Table1[[#This Row],[Date]])&gt;=4,1,0)</f>
        <v>2026</v>
      </c>
      <c r="C64" s="73">
        <f>YEAR(Table1[[#This Row],[Date]])</f>
        <v>2025</v>
      </c>
      <c r="D64" s="73" t="s">
        <v>1082</v>
      </c>
      <c r="E64" s="73" t="s">
        <v>1082</v>
      </c>
      <c r="F64" s="170">
        <f>Table1[[#This Row],[Date]]-DAY(Table1[[#This Row],[Date]])+1</f>
        <v>45748</v>
      </c>
      <c r="G64">
        <f>DAY(EOMONTH(Table1[[#This Row],[Month Year]],0))</f>
        <v>30</v>
      </c>
      <c r="H64" s="103">
        <v>45749</v>
      </c>
      <c r="I64" s="75">
        <f>IFERROR(VLOOKUP(Table1[[#This Row],[Date]],Table3[[Date]:[Sunset Time (POA&lt;20 W/m2)]],3,0),"")</f>
        <v>0.26319444444444445</v>
      </c>
      <c r="J64" s="75">
        <f>IFERROR(VLOOKUP(Table1[[#This Row],[Date]],Table3[[Date]:[Sunset Time (POA&lt;20 W/m2)]],4,0),"")</f>
        <v>0.7729166666666667</v>
      </c>
      <c r="K64" s="76">
        <f>IFERROR((Table1[[#This Row],[Sunset Time (POA&lt;20 W/m2)]]-Table1[[#This Row],[Sunrise Time (POA&gt;20 W/m2)]])*24,"")</f>
        <v>12.233333333333333</v>
      </c>
      <c r="L64" s="107" t="s">
        <v>232</v>
      </c>
      <c r="M64" s="61">
        <f>VLOOKUP(Table1[[#This Row],[Affceted Equipment]],'Basic Data'!$A$2:$C$818,2,0)</f>
        <v>669.6</v>
      </c>
      <c r="N64" s="92">
        <f>IFERROR(VLOOKUP(Table1[[#This Row],[Affceted Equipment]],'Basic Data'!$A$2:$C$818,3,0),"")</f>
        <v>8.348190352703562E-2</v>
      </c>
      <c r="O64" s="115" t="s">
        <v>323</v>
      </c>
      <c r="P64" s="93" t="s">
        <v>1090</v>
      </c>
      <c r="Q64" s="93"/>
      <c r="R64" s="93" t="s">
        <v>1090</v>
      </c>
      <c r="S64" s="91">
        <v>0.60347222222222219</v>
      </c>
      <c r="T64" s="116"/>
      <c r="U64" s="116"/>
      <c r="V64" s="91">
        <v>0.69444444444444442</v>
      </c>
      <c r="W64" s="88">
        <f>IF(Table1[[#This Row],[Acknowledgemnet Time ]]="NA","",(Table1[[#This Row],[Acknowledgemnet Time ]]-Table1[[#This Row],[Fault Time]])*24)</f>
        <v>-14.483333333333333</v>
      </c>
      <c r="X64" s="88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89">
        <f>IFERROR(Table1[[#This Row],[Breakdown Time]]*Table1[[#This Row],[Plant Equivalent Weightage]],"")</f>
        <v>0.18226882270069444</v>
      </c>
      <c r="AD64" s="2">
        <v>1.24</v>
      </c>
      <c r="AE64" s="88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4">
        <f>YEAR(Table1[[#This Row],[Date]])+IF(MONTH(Table1[[#This Row],[Date]])&gt;=4,1,0)</f>
        <v>2026</v>
      </c>
      <c r="C65" s="73">
        <f>YEAR(Table1[[#This Row],[Date]])</f>
        <v>2025</v>
      </c>
      <c r="D65" s="73" t="s">
        <v>1082</v>
      </c>
      <c r="E65" s="73" t="s">
        <v>1082</v>
      </c>
      <c r="F65" s="170">
        <f>Table1[[#This Row],[Date]]-DAY(Table1[[#This Row],[Date]])+1</f>
        <v>45748</v>
      </c>
      <c r="G65">
        <f>DAY(EOMONTH(Table1[[#This Row],[Month Year]],0))</f>
        <v>30</v>
      </c>
      <c r="H65" s="103">
        <v>45749</v>
      </c>
      <c r="I65" s="75">
        <f>IFERROR(VLOOKUP(Table1[[#This Row],[Date]],Table3[[Date]:[Sunset Time (POA&lt;20 W/m2)]],3,0),"")</f>
        <v>0.26319444444444445</v>
      </c>
      <c r="J65" s="75">
        <f>IFERROR(VLOOKUP(Table1[[#This Row],[Date]],Table3[[Date]:[Sunset Time (POA&lt;20 W/m2)]],4,0),"")</f>
        <v>0.7729166666666667</v>
      </c>
      <c r="K65" s="76">
        <f>IFERROR((Table1[[#This Row],[Sunset Time (POA&lt;20 W/m2)]]-Table1[[#This Row],[Sunrise Time (POA&gt;20 W/m2)]])*24,"")</f>
        <v>12.233333333333333</v>
      </c>
      <c r="L65" s="107" t="s">
        <v>180</v>
      </c>
      <c r="M65" s="61">
        <f>VLOOKUP(Table1[[#This Row],[Affceted Equipment]],'Basic Data'!$A$2:$C$818,2,0)</f>
        <v>2694.6</v>
      </c>
      <c r="N65" s="92">
        <f>IFERROR(VLOOKUP(Table1[[#This Row],[Affceted Equipment]],'Basic Data'!$A$2:$C$818,3,0),"")</f>
        <v>0.33594733758057077</v>
      </c>
      <c r="O65" s="115" t="s">
        <v>323</v>
      </c>
      <c r="P65" s="93" t="s">
        <v>1091</v>
      </c>
      <c r="Q65" s="93"/>
      <c r="R65" s="93" t="s">
        <v>1091</v>
      </c>
      <c r="S65" s="91">
        <v>0.69444444444444442</v>
      </c>
      <c r="T65" s="116"/>
      <c r="U65" s="116"/>
      <c r="V65" s="91">
        <v>0.69652777777777775</v>
      </c>
      <c r="W65" s="88">
        <f>IF(Table1[[#This Row],[Acknowledgemnet Time ]]="NA","",(Table1[[#This Row],[Acknowledgemnet Time ]]-Table1[[#This Row],[Fault Time]])*24)</f>
        <v>-16.666666666666664</v>
      </c>
      <c r="X65" s="88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89">
        <f>IFERROR(Table1[[#This Row],[Breakdown Time]]*Table1[[#This Row],[Plant Equivalent Weightage]],"")</f>
        <v>1.679736687902848E-2</v>
      </c>
      <c r="AD65" s="2">
        <v>0.02</v>
      </c>
      <c r="AE65" s="88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4">
        <f>YEAR(Table1[[#This Row],[Date]])+IF(MONTH(Table1[[#This Row],[Date]])&gt;=4,1,0)</f>
        <v>2026</v>
      </c>
      <c r="C66" s="73">
        <f>YEAR(Table1[[#This Row],[Date]])</f>
        <v>2025</v>
      </c>
      <c r="D66" s="73" t="s">
        <v>1082</v>
      </c>
      <c r="E66" s="73" t="s">
        <v>1082</v>
      </c>
      <c r="F66" s="170">
        <f>Table1[[#This Row],[Date]]-DAY(Table1[[#This Row],[Date]])+1</f>
        <v>45748</v>
      </c>
      <c r="G66">
        <f>DAY(EOMONTH(Table1[[#This Row],[Month Year]],0))</f>
        <v>30</v>
      </c>
      <c r="H66" s="103">
        <v>45749</v>
      </c>
      <c r="I66" s="75">
        <f>IFERROR(VLOOKUP(Table1[[#This Row],[Date]],Table3[[Date]:[Sunset Time (POA&lt;20 W/m2)]],3,0),"")</f>
        <v>0.26319444444444445</v>
      </c>
      <c r="J66" s="75">
        <f>IFERROR(VLOOKUP(Table1[[#This Row],[Date]],Table3[[Date]:[Sunset Time (POA&lt;20 W/m2)]],4,0),"")</f>
        <v>0.7729166666666667</v>
      </c>
      <c r="K66" s="76">
        <f>IFERROR((Table1[[#This Row],[Sunset Time (POA&lt;20 W/m2)]]-Table1[[#This Row],[Sunrise Time (POA&gt;20 W/m2)]])*24,"")</f>
        <v>12.233333333333333</v>
      </c>
      <c r="L66" s="107" t="s">
        <v>231</v>
      </c>
      <c r="M66" s="90">
        <f>VLOOKUP(Table1[[#This Row],[Affceted Equipment]],'Basic Data'!$A$2:$C$818,2,0)</f>
        <v>669.6</v>
      </c>
      <c r="N66" s="92">
        <f>IFERROR(VLOOKUP(Table1[[#This Row],[Affceted Equipment]],'Basic Data'!$A$2:$C$818,3,0),"")</f>
        <v>8.348190352703562E-2</v>
      </c>
      <c r="O66" s="115" t="s">
        <v>323</v>
      </c>
      <c r="P66" s="93" t="s">
        <v>1088</v>
      </c>
      <c r="Q66" s="93"/>
      <c r="R66" s="93" t="s">
        <v>1088</v>
      </c>
      <c r="S66" s="91">
        <v>0.69652777777777775</v>
      </c>
      <c r="T66" s="116"/>
      <c r="U66" s="116"/>
      <c r="V66" s="91">
        <v>0.7729166666666667</v>
      </c>
      <c r="W66" s="88">
        <f>IF(Table1[[#This Row],[Acknowledgemnet Time ]]="NA","",(Table1[[#This Row],[Acknowledgemnet Time ]]-Table1[[#This Row],[Fault Time]])*24)</f>
        <v>-16.716666666666665</v>
      </c>
      <c r="X66" s="88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89">
        <f>IFERROR(Table1[[#This Row],[Breakdown Time]]*Table1[[#This Row],[Plant Equivalent Weightage]],"")</f>
        <v>0.1530501564662321</v>
      </c>
      <c r="AD66" s="2">
        <v>0.17</v>
      </c>
      <c r="AE66" s="88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4">
        <f>YEAR(Table1[[#This Row],[Date]])+IF(MONTH(Table1[[#This Row],[Date]])&gt;=4,1,0)</f>
        <v>2026</v>
      </c>
      <c r="C67" s="73">
        <f>YEAR(Table1[[#This Row],[Date]])</f>
        <v>2025</v>
      </c>
      <c r="D67" s="73" t="s">
        <v>1082</v>
      </c>
      <c r="E67" s="73" t="s">
        <v>1082</v>
      </c>
      <c r="F67" s="170">
        <f>Table1[[#This Row],[Date]]-DAY(Table1[[#This Row],[Date]])+1</f>
        <v>45748</v>
      </c>
      <c r="G67">
        <f>DAY(EOMONTH(Table1[[#This Row],[Month Year]],0))</f>
        <v>30</v>
      </c>
      <c r="H67" s="103">
        <v>45750</v>
      </c>
      <c r="I67" s="75">
        <f>IFERROR(VLOOKUP(Table1[[#This Row],[Date]],Table3[[Date]:[Sunset Time (POA&lt;20 W/m2)]],3,0),"")</f>
        <v>0.26319444444444445</v>
      </c>
      <c r="J67" s="75">
        <f>IFERROR(VLOOKUP(Table1[[#This Row],[Date]],Table3[[Date]:[Sunset Time (POA&lt;20 W/m2)]],4,0),"")</f>
        <v>0.74027777777777781</v>
      </c>
      <c r="K67" s="76">
        <f>IFERROR((Table1[[#This Row],[Sunset Time (POA&lt;20 W/m2)]]-Table1[[#This Row],[Sunrise Time (POA&gt;20 W/m2)]])*24,"")</f>
        <v>11.450000000000001</v>
      </c>
      <c r="L67" s="107" t="s">
        <v>231</v>
      </c>
      <c r="M67" s="90">
        <f>VLOOKUP(Table1[[#This Row],[Affceted Equipment]],'Basic Data'!$A$2:$C$818,2,0)</f>
        <v>669.6</v>
      </c>
      <c r="N67" s="92">
        <f>IFERROR(VLOOKUP(Table1[[#This Row],[Affceted Equipment]],'Basic Data'!$A$2:$C$818,3,0),"")</f>
        <v>8.348190352703562E-2</v>
      </c>
      <c r="O67" s="115" t="s">
        <v>323</v>
      </c>
      <c r="P67" s="93" t="s">
        <v>1088</v>
      </c>
      <c r="Q67" s="93"/>
      <c r="R67" s="93" t="s">
        <v>1088</v>
      </c>
      <c r="S67" s="91">
        <v>0.26319444444444445</v>
      </c>
      <c r="T67" s="116"/>
      <c r="U67" s="116"/>
      <c r="V67" s="91">
        <v>0.44791666666666669</v>
      </c>
      <c r="W67" s="88">
        <f>IF(Table1[[#This Row],[Acknowledgemnet Time ]]="NA","",(Table1[[#This Row],[Acknowledgemnet Time ]]-Table1[[#This Row],[Fault Time]])*24)</f>
        <v>-6.3166666666666664</v>
      </c>
      <c r="X67" s="88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89">
        <f>IFERROR(Table1[[#This Row],[Breakdown Time]]*Table1[[#This Row],[Plant Equivalent Weightage]],"")</f>
        <v>0.3701031056365246</v>
      </c>
      <c r="AD67" s="2">
        <v>1.29</v>
      </c>
      <c r="AE67" s="88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4">
        <f>YEAR(Table1[[#This Row],[Date]])+IF(MONTH(Table1[[#This Row],[Date]])&gt;=4,1,0)</f>
        <v>2026</v>
      </c>
      <c r="C68" s="73">
        <f>YEAR(Table1[[#This Row],[Date]])</f>
        <v>2025</v>
      </c>
      <c r="D68" s="73" t="s">
        <v>1082</v>
      </c>
      <c r="E68" s="73" t="s">
        <v>1082</v>
      </c>
      <c r="F68" s="170">
        <f>Table1[[#This Row],[Date]]-DAY(Table1[[#This Row],[Date]])+1</f>
        <v>45748</v>
      </c>
      <c r="G68">
        <f>DAY(EOMONTH(Table1[[#This Row],[Month Year]],0))</f>
        <v>30</v>
      </c>
      <c r="H68" s="103">
        <v>45750</v>
      </c>
      <c r="I68" s="75">
        <f>IFERROR(VLOOKUP(Table1[[#This Row],[Date]],Table3[[Date]:[Sunset Time (POA&lt;20 W/m2)]],3,0),"")</f>
        <v>0.26319444444444445</v>
      </c>
      <c r="J68" s="75">
        <f>IFERROR(VLOOKUP(Table1[[#This Row],[Date]],Table3[[Date]:[Sunset Time (POA&lt;20 W/m2)]],4,0),"")</f>
        <v>0.74027777777777781</v>
      </c>
      <c r="K68" s="76">
        <f>IFERROR((Table1[[#This Row],[Sunset Time (POA&lt;20 W/m2)]]-Table1[[#This Row],[Sunrise Time (POA&gt;20 W/m2)]])*24,"")</f>
        <v>11.450000000000001</v>
      </c>
      <c r="L68" s="107" t="s">
        <v>238</v>
      </c>
      <c r="M68" s="61">
        <f>VLOOKUP(Table1[[#This Row],[Affceted Equipment]],'Basic Data'!$A$2:$C$818,2,0)</f>
        <v>658.8</v>
      </c>
      <c r="N68" s="92">
        <f>IFERROR(VLOOKUP(Table1[[#This Row],[Affceted Equipment]],'Basic Data'!$A$2:$C$818,3,0),"")</f>
        <v>8.2135421212083434E-2</v>
      </c>
      <c r="O68" s="115" t="s">
        <v>303</v>
      </c>
      <c r="P68" s="93" t="s">
        <v>1087</v>
      </c>
      <c r="Q68" s="93"/>
      <c r="R68" s="93" t="s">
        <v>1087</v>
      </c>
      <c r="S68" s="91">
        <v>0.26319444444444445</v>
      </c>
      <c r="T68" s="116"/>
      <c r="U68" s="116"/>
      <c r="V68" s="91">
        <v>0.57152777777777775</v>
      </c>
      <c r="W68" s="88">
        <f>IF(Table1[[#This Row],[Acknowledgemnet Time ]]="NA","",(Table1[[#This Row],[Acknowledgemnet Time ]]-Table1[[#This Row],[Fault Time]])*24)</f>
        <v>-6.3166666666666664</v>
      </c>
      <c r="X68" s="88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89">
        <f>IFERROR(Table1[[#This Row],[Breakdown Time]]*Table1[[#This Row],[Plant Equivalent Weightage]],"")</f>
        <v>0.60780211696941733</v>
      </c>
      <c r="AD68" s="2">
        <v>3.1</v>
      </c>
      <c r="AE68" s="88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4">
        <f>YEAR(Table1[[#This Row],[Date]])+IF(MONTH(Table1[[#This Row],[Date]])&gt;=4,1,0)</f>
        <v>2026</v>
      </c>
      <c r="C69" s="73">
        <f>YEAR(Table1[[#This Row],[Date]])</f>
        <v>2025</v>
      </c>
      <c r="D69" s="73" t="s">
        <v>1082</v>
      </c>
      <c r="E69" s="73" t="s">
        <v>1082</v>
      </c>
      <c r="F69" s="170">
        <f>Table1[[#This Row],[Date]]-DAY(Table1[[#This Row],[Date]])+1</f>
        <v>45748</v>
      </c>
      <c r="G69">
        <f>DAY(EOMONTH(Table1[[#This Row],[Month Year]],0))</f>
        <v>30</v>
      </c>
      <c r="H69" s="103">
        <v>45750</v>
      </c>
      <c r="I69" s="75">
        <f>IFERROR(VLOOKUP(Table1[[#This Row],[Date]],Table3[[Date]:[Sunset Time (POA&lt;20 W/m2)]],3,0),"")</f>
        <v>0.26319444444444445</v>
      </c>
      <c r="J69" s="75">
        <f>IFERROR(VLOOKUP(Table1[[#This Row],[Date]],Table3[[Date]:[Sunset Time (POA&lt;20 W/m2)]],4,0),"")</f>
        <v>0.74027777777777781</v>
      </c>
      <c r="K69" s="76">
        <f>IFERROR((Table1[[#This Row],[Sunset Time (POA&lt;20 W/m2)]]-Table1[[#This Row],[Sunrise Time (POA&gt;20 W/m2)]])*24,"")</f>
        <v>11.450000000000001</v>
      </c>
      <c r="L69" s="107" t="s">
        <v>180</v>
      </c>
      <c r="M69" s="90">
        <f>VLOOKUP(Table1[[#This Row],[Affceted Equipment]],'Basic Data'!$A$2:$C$818,2,0)</f>
        <v>2694.6</v>
      </c>
      <c r="N69" s="92">
        <f>IFERROR(VLOOKUP(Table1[[#This Row],[Affceted Equipment]],'Basic Data'!$A$2:$C$818,3,0),"")</f>
        <v>0.33594733758057077</v>
      </c>
      <c r="O69" s="115" t="s">
        <v>323</v>
      </c>
      <c r="P69" s="93" t="s">
        <v>1089</v>
      </c>
      <c r="Q69" s="93"/>
      <c r="R69" s="93" t="s">
        <v>1089</v>
      </c>
      <c r="S69" s="91">
        <v>0.44791666666666669</v>
      </c>
      <c r="T69" s="116"/>
      <c r="U69" s="116"/>
      <c r="V69" s="91">
        <v>0.45277777777777778</v>
      </c>
      <c r="W69" s="88">
        <f>IF(Table1[[#This Row],[Acknowledgemnet Time ]]="NA","",(Table1[[#This Row],[Acknowledgemnet Time ]]-Table1[[#This Row],[Fault Time]])*24)</f>
        <v>-10.75</v>
      </c>
      <c r="X69" s="88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89">
        <f>IFERROR(Table1[[#This Row],[Breakdown Time]]*Table1[[#This Row],[Plant Equivalent Weightage]],"")</f>
        <v>3.9193856051066449E-2</v>
      </c>
      <c r="AD69" s="2">
        <v>0.14000000000000001</v>
      </c>
      <c r="AE69" s="88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4">
        <f>YEAR(Table1[[#This Row],[Date]])+IF(MONTH(Table1[[#This Row],[Date]])&gt;=4,1,0)</f>
        <v>2026</v>
      </c>
      <c r="C70" s="73">
        <f>YEAR(Table1[[#This Row],[Date]])</f>
        <v>2025</v>
      </c>
      <c r="D70" s="73" t="s">
        <v>1082</v>
      </c>
      <c r="E70" s="73" t="s">
        <v>1082</v>
      </c>
      <c r="F70" s="170">
        <f>Table1[[#This Row],[Date]]-DAY(Table1[[#This Row],[Date]])+1</f>
        <v>45748</v>
      </c>
      <c r="G70">
        <f>DAY(EOMONTH(Table1[[#This Row],[Month Year]],0))</f>
        <v>30</v>
      </c>
      <c r="H70" s="103">
        <v>45750</v>
      </c>
      <c r="I70" s="75">
        <f>IFERROR(VLOOKUP(Table1[[#This Row],[Date]],Table3[[Date]:[Sunset Time (POA&lt;20 W/m2)]],3,0),"")</f>
        <v>0.26319444444444445</v>
      </c>
      <c r="J70" s="75">
        <f>IFERROR(VLOOKUP(Table1[[#This Row],[Date]],Table3[[Date]:[Sunset Time (POA&lt;20 W/m2)]],4,0),"")</f>
        <v>0.74027777777777781</v>
      </c>
      <c r="K70" s="76">
        <f>IFERROR((Table1[[#This Row],[Sunset Time (POA&lt;20 W/m2)]]-Table1[[#This Row],[Sunrise Time (POA&gt;20 W/m2)]])*24,"")</f>
        <v>11.450000000000001</v>
      </c>
      <c r="L70" s="107" t="s">
        <v>231</v>
      </c>
      <c r="M70" s="61">
        <f>VLOOKUP(Table1[[#This Row],[Affceted Equipment]],'Basic Data'!$A$2:$C$818,2,0)</f>
        <v>669.6</v>
      </c>
      <c r="N70" s="92">
        <f>IFERROR(VLOOKUP(Table1[[#This Row],[Affceted Equipment]],'Basic Data'!$A$2:$C$818,3,0),"")</f>
        <v>8.348190352703562E-2</v>
      </c>
      <c r="O70" s="115" t="s">
        <v>323</v>
      </c>
      <c r="P70" s="93" t="s">
        <v>1088</v>
      </c>
      <c r="Q70" s="93"/>
      <c r="R70" s="93" t="s">
        <v>1088</v>
      </c>
      <c r="S70" s="91">
        <v>0.45277777777777778</v>
      </c>
      <c r="T70" s="116"/>
      <c r="U70" s="116"/>
      <c r="V70" s="91">
        <v>0.57152777777777775</v>
      </c>
      <c r="W70" s="88">
        <f>IF(Table1[[#This Row],[Acknowledgemnet Time ]]="NA","",(Table1[[#This Row],[Acknowledgemnet Time ]]-Table1[[#This Row],[Fault Time]])*24)</f>
        <v>-10.866666666666667</v>
      </c>
      <c r="X70" s="88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89">
        <f>IFERROR(Table1[[#This Row],[Breakdown Time]]*Table1[[#This Row],[Plant Equivalent Weightage]],"")</f>
        <v>0.23792342505205144</v>
      </c>
      <c r="AD70" s="2">
        <v>1.72</v>
      </c>
      <c r="AE70" s="88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4">
        <f>YEAR(Table1[[#This Row],[Date]])+IF(MONTH(Table1[[#This Row],[Date]])&gt;=4,1,0)</f>
        <v>2026</v>
      </c>
      <c r="C71" s="73">
        <f>YEAR(Table1[[#This Row],[Date]])</f>
        <v>2025</v>
      </c>
      <c r="D71" s="73" t="s">
        <v>1082</v>
      </c>
      <c r="E71" s="73" t="s">
        <v>1082</v>
      </c>
      <c r="F71" s="170">
        <f>Table1[[#This Row],[Date]]-DAY(Table1[[#This Row],[Date]])+1</f>
        <v>45748</v>
      </c>
      <c r="G71">
        <f>DAY(EOMONTH(Table1[[#This Row],[Month Year]],0))</f>
        <v>30</v>
      </c>
      <c r="H71" s="103">
        <v>45750</v>
      </c>
      <c r="I71" s="75">
        <f>IFERROR(VLOOKUP(Table1[[#This Row],[Date]],Table3[[Date]:[Sunset Time (POA&lt;20 W/m2)]],3,0),"")</f>
        <v>0.26319444444444445</v>
      </c>
      <c r="J71" s="75">
        <f>IFERROR(VLOOKUP(Table1[[#This Row],[Date]],Table3[[Date]:[Sunset Time (POA&lt;20 W/m2)]],4,0),"")</f>
        <v>0.74027777777777781</v>
      </c>
      <c r="K71" s="76">
        <f>IFERROR((Table1[[#This Row],[Sunset Time (POA&lt;20 W/m2)]]-Table1[[#This Row],[Sunrise Time (POA&gt;20 W/m2)]])*24,"")</f>
        <v>11.450000000000001</v>
      </c>
      <c r="L71" s="107" t="s">
        <v>232</v>
      </c>
      <c r="M71" s="90">
        <f>VLOOKUP(Table1[[#This Row],[Affceted Equipment]],'Basic Data'!$A$2:$C$818,2,0)</f>
        <v>669.6</v>
      </c>
      <c r="N71" s="92">
        <f>IFERROR(VLOOKUP(Table1[[#This Row],[Affceted Equipment]],'Basic Data'!$A$2:$C$818,3,0),"")</f>
        <v>8.348190352703562E-2</v>
      </c>
      <c r="O71" s="115" t="s">
        <v>323</v>
      </c>
      <c r="P71" s="93" t="s">
        <v>1090</v>
      </c>
      <c r="Q71" s="93"/>
      <c r="R71" s="93" t="s">
        <v>1090</v>
      </c>
      <c r="S71" s="91">
        <v>0.45277777777777778</v>
      </c>
      <c r="T71" s="116"/>
      <c r="U71" s="116"/>
      <c r="V71" s="91">
        <v>0.57152777777777775</v>
      </c>
      <c r="W71" s="88">
        <f>IF(Table1[[#This Row],[Acknowledgemnet Time ]]="NA","",(Table1[[#This Row],[Acknowledgemnet Time ]]-Table1[[#This Row],[Fault Time]])*24)</f>
        <v>-10.866666666666667</v>
      </c>
      <c r="X71" s="88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89">
        <f>IFERROR(Table1[[#This Row],[Breakdown Time]]*Table1[[#This Row],[Plant Equivalent Weightage]],"")</f>
        <v>0.23792342505205144</v>
      </c>
      <c r="AD71" s="2">
        <v>1.72</v>
      </c>
      <c r="AE71" s="88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4">
        <f>YEAR(Table1[[#This Row],[Date]])+IF(MONTH(Table1[[#This Row],[Date]])&gt;=4,1,0)</f>
        <v>2026</v>
      </c>
      <c r="C72" s="73">
        <f>YEAR(Table1[[#This Row],[Date]])</f>
        <v>2025</v>
      </c>
      <c r="D72" s="73" t="s">
        <v>1082</v>
      </c>
      <c r="E72" s="73" t="s">
        <v>1082</v>
      </c>
      <c r="F72" s="170">
        <f>Table1[[#This Row],[Date]]-DAY(Table1[[#This Row],[Date]])+1</f>
        <v>45748</v>
      </c>
      <c r="G72">
        <f>DAY(EOMONTH(Table1[[#This Row],[Month Year]],0))</f>
        <v>30</v>
      </c>
      <c r="H72" s="103">
        <v>45750</v>
      </c>
      <c r="I72" s="75">
        <f>IFERROR(VLOOKUP(Table1[[#This Row],[Date]],Table3[[Date]:[Sunset Time (POA&lt;20 W/m2)]],3,0),"")</f>
        <v>0.26319444444444445</v>
      </c>
      <c r="J72" s="75">
        <f>IFERROR(VLOOKUP(Table1[[#This Row],[Date]],Table3[[Date]:[Sunset Time (POA&lt;20 W/m2)]],4,0),"")</f>
        <v>0.74027777777777781</v>
      </c>
      <c r="K72" s="76">
        <f>IFERROR((Table1[[#This Row],[Sunset Time (POA&lt;20 W/m2)]]-Table1[[#This Row],[Sunrise Time (POA&gt;20 W/m2)]])*24,"")</f>
        <v>11.450000000000001</v>
      </c>
      <c r="L72" s="107" t="s">
        <v>231</v>
      </c>
      <c r="M72" s="61">
        <f>VLOOKUP(Table1[[#This Row],[Affceted Equipment]],'Basic Data'!$A$2:$C$818,2,0)</f>
        <v>669.6</v>
      </c>
      <c r="N72" s="92">
        <f>IFERROR(VLOOKUP(Table1[[#This Row],[Affceted Equipment]],'Basic Data'!$A$2:$C$818,3,0),"")</f>
        <v>8.348190352703562E-2</v>
      </c>
      <c r="O72" s="115" t="s">
        <v>323</v>
      </c>
      <c r="P72" s="93" t="s">
        <v>1088</v>
      </c>
      <c r="Q72" s="93"/>
      <c r="R72" s="93" t="s">
        <v>1088</v>
      </c>
      <c r="S72" s="91">
        <v>0.69652777777777775</v>
      </c>
      <c r="T72" s="116"/>
      <c r="U72" s="116"/>
      <c r="V72" s="91">
        <v>0.74027777777777781</v>
      </c>
      <c r="W72" s="88">
        <f>IF(Table1[[#This Row],[Acknowledgemnet Time ]]="NA","",(Table1[[#This Row],[Acknowledgemnet Time ]]-Table1[[#This Row],[Fault Time]])*24)</f>
        <v>-16.716666666666665</v>
      </c>
      <c r="X72" s="88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89">
        <f>IFERROR(Table1[[#This Row],[Breakdown Time]]*Table1[[#This Row],[Plant Equivalent Weightage]],"")</f>
        <v>8.7655998703387528E-2</v>
      </c>
      <c r="AD72" s="2">
        <v>0.03</v>
      </c>
      <c r="AE72" s="88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4">
        <f>YEAR(Table1[[#This Row],[Date]])+IF(MONTH(Table1[[#This Row],[Date]])&gt;=4,1,0)</f>
        <v>2026</v>
      </c>
      <c r="C73" s="73">
        <f>YEAR(Table1[[#This Row],[Date]])</f>
        <v>2025</v>
      </c>
      <c r="D73" s="73" t="s">
        <v>1082</v>
      </c>
      <c r="E73" s="73" t="s">
        <v>1082</v>
      </c>
      <c r="F73" s="170">
        <f>Table1[[#This Row],[Date]]-DAY(Table1[[#This Row],[Date]])+1</f>
        <v>45748</v>
      </c>
      <c r="G73">
        <f>DAY(EOMONTH(Table1[[#This Row],[Month Year]],0))</f>
        <v>30</v>
      </c>
      <c r="H73" s="103">
        <v>45750</v>
      </c>
      <c r="I73" s="75">
        <f>IFERROR(VLOOKUP(Table1[[#This Row],[Date]],Table3[[Date]:[Sunset Time (POA&lt;20 W/m2)]],3,0),"")</f>
        <v>0.26319444444444445</v>
      </c>
      <c r="J73" s="75">
        <f>IFERROR(VLOOKUP(Table1[[#This Row],[Date]],Table3[[Date]:[Sunset Time (POA&lt;20 W/m2)]],4,0),"")</f>
        <v>0.74027777777777781</v>
      </c>
      <c r="K73" s="76">
        <f>IFERROR((Table1[[#This Row],[Sunset Time (POA&lt;20 W/m2)]]-Table1[[#This Row],[Sunrise Time (POA&gt;20 W/m2)]])*24,"")</f>
        <v>11.450000000000001</v>
      </c>
      <c r="L73" s="107" t="s">
        <v>232</v>
      </c>
      <c r="M73" s="90">
        <f>VLOOKUP(Table1[[#This Row],[Affceted Equipment]],'Basic Data'!$A$2:$C$818,2,0)</f>
        <v>669.6</v>
      </c>
      <c r="N73" s="92">
        <f>IFERROR(VLOOKUP(Table1[[#This Row],[Affceted Equipment]],'Basic Data'!$A$2:$C$818,3,0),"")</f>
        <v>8.348190352703562E-2</v>
      </c>
      <c r="O73" s="115" t="s">
        <v>323</v>
      </c>
      <c r="P73" s="93" t="s">
        <v>1090</v>
      </c>
      <c r="Q73" s="93"/>
      <c r="R73" s="93" t="s">
        <v>1090</v>
      </c>
      <c r="S73" s="91">
        <v>0.69652777777777775</v>
      </c>
      <c r="T73" s="116"/>
      <c r="U73" s="116"/>
      <c r="V73" s="91">
        <v>0.74027777777777781</v>
      </c>
      <c r="W73" s="88">
        <f>IF(Table1[[#This Row],[Acknowledgemnet Time ]]="NA","",(Table1[[#This Row],[Acknowledgemnet Time ]]-Table1[[#This Row],[Fault Time]])*24)</f>
        <v>-16.716666666666665</v>
      </c>
      <c r="X73" s="88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89">
        <f>IFERROR(Table1[[#This Row],[Breakdown Time]]*Table1[[#This Row],[Plant Equivalent Weightage]],"")</f>
        <v>8.7655998703387528E-2</v>
      </c>
      <c r="AD73" s="2">
        <v>0.03</v>
      </c>
      <c r="AE73" s="88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4">
        <f>YEAR(Table1[[#This Row],[Date]])+IF(MONTH(Table1[[#This Row],[Date]])&gt;=4,1,0)</f>
        <v>2026</v>
      </c>
      <c r="C74" s="73">
        <f>YEAR(Table1[[#This Row],[Date]])</f>
        <v>2025</v>
      </c>
      <c r="D74" s="73" t="s">
        <v>1082</v>
      </c>
      <c r="E74" s="73" t="s">
        <v>1082</v>
      </c>
      <c r="F74" s="170">
        <f>Table1[[#This Row],[Date]]-DAY(Table1[[#This Row],[Date]])+1</f>
        <v>45748</v>
      </c>
      <c r="G74">
        <f>DAY(EOMONTH(Table1[[#This Row],[Month Year]],0))</f>
        <v>30</v>
      </c>
      <c r="H74" s="103">
        <v>45750</v>
      </c>
      <c r="I74" s="75">
        <f>IFERROR(VLOOKUP(Table1[[#This Row],[Date]],Table3[[Date]:[Sunset Time (POA&lt;20 W/m2)]],3,0),"")</f>
        <v>0.26319444444444445</v>
      </c>
      <c r="J74" s="75">
        <f>IFERROR(VLOOKUP(Table1[[#This Row],[Date]],Table3[[Date]:[Sunset Time (POA&lt;20 W/m2)]],4,0),"")</f>
        <v>0.74027777777777781</v>
      </c>
      <c r="K74" s="76">
        <f>IFERROR((Table1[[#This Row],[Sunset Time (POA&lt;20 W/m2)]]-Table1[[#This Row],[Sunrise Time (POA&gt;20 W/m2)]])*24,"")</f>
        <v>11.450000000000001</v>
      </c>
      <c r="L74" s="107" t="s">
        <v>238</v>
      </c>
      <c r="M74" s="90">
        <f>VLOOKUP(Table1[[#This Row],[Affceted Equipment]],'Basic Data'!$A$2:$C$818,2,0)</f>
        <v>658.8</v>
      </c>
      <c r="N74" s="92">
        <f>IFERROR(VLOOKUP(Table1[[#This Row],[Affceted Equipment]],'Basic Data'!$A$2:$C$818,3,0),"")</f>
        <v>8.2135421212083434E-2</v>
      </c>
      <c r="O74" s="115" t="s">
        <v>303</v>
      </c>
      <c r="P74" s="93" t="s">
        <v>1087</v>
      </c>
      <c r="Q74" s="93"/>
      <c r="R74" s="93" t="s">
        <v>1087</v>
      </c>
      <c r="S74" s="91">
        <v>0.69652777777777775</v>
      </c>
      <c r="T74" s="116"/>
      <c r="U74" s="116"/>
      <c r="V74" s="91">
        <v>0.74027777777777781</v>
      </c>
      <c r="W74" s="88">
        <f>IF(Table1[[#This Row],[Acknowledgemnet Time ]]="NA","",(Table1[[#This Row],[Acknowledgemnet Time ]]-Table1[[#This Row],[Fault Time]])*24)</f>
        <v>-16.716666666666665</v>
      </c>
      <c r="X74" s="88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89">
        <f>IFERROR(Table1[[#This Row],[Breakdown Time]]*Table1[[#This Row],[Plant Equivalent Weightage]],"")</f>
        <v>8.6242192272687743E-2</v>
      </c>
      <c r="AD74" s="2">
        <v>0.03</v>
      </c>
      <c r="AE74" s="88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4">
        <f>YEAR(Table1[[#This Row],[Date]])+IF(MONTH(Table1[[#This Row],[Date]])&gt;=4,1,0)</f>
        <v>2026</v>
      </c>
      <c r="C75" s="73">
        <f>YEAR(Table1[[#This Row],[Date]])</f>
        <v>2025</v>
      </c>
      <c r="D75" s="73" t="s">
        <v>1082</v>
      </c>
      <c r="E75" s="73" t="s">
        <v>1082</v>
      </c>
      <c r="F75" s="170">
        <f>Table1[[#This Row],[Date]]-DAY(Table1[[#This Row],[Date]])+1</f>
        <v>45748</v>
      </c>
      <c r="G75">
        <f>DAY(EOMONTH(Table1[[#This Row],[Month Year]],0))</f>
        <v>30</v>
      </c>
      <c r="H75" s="103">
        <v>45751</v>
      </c>
      <c r="I75" s="75">
        <f>IFERROR(VLOOKUP(Table1[[#This Row],[Date]],Table3[[Date]:[Sunset Time (POA&lt;20 W/m2)]],3,0),"")</f>
        <v>0.25624999999999998</v>
      </c>
      <c r="J75" s="75">
        <f>IFERROR(VLOOKUP(Table1[[#This Row],[Date]],Table3[[Date]:[Sunset Time (POA&lt;20 W/m2)]],4,0),"")</f>
        <v>0.77083333333333337</v>
      </c>
      <c r="K75" s="76">
        <f>IFERROR((Table1[[#This Row],[Sunset Time (POA&lt;20 W/m2)]]-Table1[[#This Row],[Sunrise Time (POA&gt;20 W/m2)]])*24,"")</f>
        <v>12.350000000000001</v>
      </c>
      <c r="L75" s="107" t="s">
        <v>238</v>
      </c>
      <c r="M75" s="61">
        <f>VLOOKUP(Table1[[#This Row],[Affceted Equipment]],'Basic Data'!$A$2:$C$818,2,0)</f>
        <v>658.8</v>
      </c>
      <c r="N75" s="92">
        <f>IFERROR(VLOOKUP(Table1[[#This Row],[Affceted Equipment]],'Basic Data'!$A$2:$C$818,3,0),"")</f>
        <v>8.2135421212083434E-2</v>
      </c>
      <c r="O75" s="115" t="s">
        <v>303</v>
      </c>
      <c r="P75" s="93" t="s">
        <v>1087</v>
      </c>
      <c r="Q75" s="93"/>
      <c r="R75" s="93" t="s">
        <v>1087</v>
      </c>
      <c r="S75" s="91">
        <v>0.25624999999999998</v>
      </c>
      <c r="T75" s="116"/>
      <c r="U75" s="116"/>
      <c r="V75" s="91">
        <v>0.77083333333333337</v>
      </c>
      <c r="W75" s="88">
        <f>IF(Table1[[#This Row],[Acknowledgemnet Time ]]="NA","",(Table1[[#This Row],[Acknowledgemnet Time ]]-Table1[[#This Row],[Fault Time]])*24)</f>
        <v>-6.1499999999999995</v>
      </c>
      <c r="X75" s="88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89">
        <f>IFERROR(Table1[[#This Row],[Breakdown Time]]*Table1[[#This Row],[Plant Equivalent Weightage]],"")</f>
        <v>1.0143724519692305</v>
      </c>
      <c r="AD75" s="2">
        <v>6.83</v>
      </c>
      <c r="AE75" s="88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4">
        <f>YEAR(Table1[[#This Row],[Date]])+IF(MONTH(Table1[[#This Row],[Date]])&gt;=4,1,0)</f>
        <v>2026</v>
      </c>
      <c r="C76" s="73">
        <f>YEAR(Table1[[#This Row],[Date]])</f>
        <v>2025</v>
      </c>
      <c r="D76" s="73" t="s">
        <v>1082</v>
      </c>
      <c r="E76" s="73" t="s">
        <v>1082</v>
      </c>
      <c r="F76" s="170">
        <f>Table1[[#This Row],[Date]]-DAY(Table1[[#This Row],[Date]])+1</f>
        <v>45748</v>
      </c>
      <c r="G76">
        <f>DAY(EOMONTH(Table1[[#This Row],[Month Year]],0))</f>
        <v>30</v>
      </c>
      <c r="H76" s="103">
        <v>45751</v>
      </c>
      <c r="I76" s="75">
        <f>IFERROR(VLOOKUP(Table1[[#This Row],[Date]],Table3[[Date]:[Sunset Time (POA&lt;20 W/m2)]],3,0),"")</f>
        <v>0.25624999999999998</v>
      </c>
      <c r="J76" s="75">
        <f>IFERROR(VLOOKUP(Table1[[#This Row],[Date]],Table3[[Date]:[Sunset Time (POA&lt;20 W/m2)]],4,0),"")</f>
        <v>0.77083333333333337</v>
      </c>
      <c r="K76" s="76">
        <f>IFERROR((Table1[[#This Row],[Sunset Time (POA&lt;20 W/m2)]]-Table1[[#This Row],[Sunrise Time (POA&gt;20 W/m2)]])*24,"")</f>
        <v>12.350000000000001</v>
      </c>
      <c r="L76" s="107" t="s">
        <v>180</v>
      </c>
      <c r="M76" s="61">
        <f>VLOOKUP(Table1[[#This Row],[Affceted Equipment]],'Basic Data'!$A$2:$C$818,2,0)</f>
        <v>2694.6</v>
      </c>
      <c r="N76" s="92">
        <f>IFERROR(VLOOKUP(Table1[[#This Row],[Affceted Equipment]],'Basic Data'!$A$2:$C$818,3,0),"")</f>
        <v>0.33594733758057077</v>
      </c>
      <c r="O76" s="115" t="s">
        <v>323</v>
      </c>
      <c r="P76" s="93" t="s">
        <v>1089</v>
      </c>
      <c r="Q76" s="93"/>
      <c r="R76" s="93" t="s">
        <v>1089</v>
      </c>
      <c r="S76" s="91">
        <v>0.38124999999999998</v>
      </c>
      <c r="T76" s="116"/>
      <c r="U76" s="116"/>
      <c r="V76" s="91">
        <v>0.3840277777777778</v>
      </c>
      <c r="W76" s="88">
        <f>IF(Table1[[#This Row],[Acknowledgemnet Time ]]="NA","",(Table1[[#This Row],[Acknowledgemnet Time ]]-Table1[[#This Row],[Fault Time]])*24)</f>
        <v>-9.1499999999999986</v>
      </c>
      <c r="X76" s="88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89">
        <f>IFERROR(Table1[[#This Row],[Breakdown Time]]*Table1[[#This Row],[Plant Equivalent Weightage]],"")</f>
        <v>2.239648917203842E-2</v>
      </c>
      <c r="AD76" s="2">
        <v>0.04</v>
      </c>
      <c r="AE76" s="88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4">
        <f>YEAR(Table1[[#This Row],[Date]])+IF(MONTH(Table1[[#This Row],[Date]])&gt;=4,1,0)</f>
        <v>2026</v>
      </c>
      <c r="C77" s="73">
        <f>YEAR(Table1[[#This Row],[Date]])</f>
        <v>2025</v>
      </c>
      <c r="D77" s="73" t="s">
        <v>1082</v>
      </c>
      <c r="E77" s="73" t="s">
        <v>1082</v>
      </c>
      <c r="F77" s="170">
        <f>Table1[[#This Row],[Date]]-DAY(Table1[[#This Row],[Date]])+1</f>
        <v>45748</v>
      </c>
      <c r="G77">
        <f>DAY(EOMONTH(Table1[[#This Row],[Month Year]],0))</f>
        <v>30</v>
      </c>
      <c r="H77" s="103">
        <v>45751</v>
      </c>
      <c r="I77" s="75">
        <f>IFERROR(VLOOKUP(Table1[[#This Row],[Date]],Table3[[Date]:[Sunset Time (POA&lt;20 W/m2)]],3,0),"")</f>
        <v>0.25624999999999998</v>
      </c>
      <c r="J77" s="75">
        <f>IFERROR(VLOOKUP(Table1[[#This Row],[Date]],Table3[[Date]:[Sunset Time (POA&lt;20 W/m2)]],4,0),"")</f>
        <v>0.77083333333333337</v>
      </c>
      <c r="K77" s="76">
        <f>IFERROR((Table1[[#This Row],[Sunset Time (POA&lt;20 W/m2)]]-Table1[[#This Row],[Sunrise Time (POA&gt;20 W/m2)]])*24,"")</f>
        <v>12.350000000000001</v>
      </c>
      <c r="L77" s="107" t="s">
        <v>231</v>
      </c>
      <c r="M77" s="61">
        <f>VLOOKUP(Table1[[#This Row],[Affceted Equipment]],'Basic Data'!$A$2:$C$818,2,0)</f>
        <v>669.6</v>
      </c>
      <c r="N77" s="92">
        <f>IFERROR(VLOOKUP(Table1[[#This Row],[Affceted Equipment]],'Basic Data'!$A$2:$C$818,3,0),"")</f>
        <v>8.348190352703562E-2</v>
      </c>
      <c r="O77" s="115" t="s">
        <v>323</v>
      </c>
      <c r="P77" s="93" t="s">
        <v>1088</v>
      </c>
      <c r="Q77" s="93"/>
      <c r="R77" s="93" t="s">
        <v>1088</v>
      </c>
      <c r="S77" s="91">
        <v>0.3840277777777778</v>
      </c>
      <c r="T77" s="116"/>
      <c r="U77" s="116"/>
      <c r="V77" s="91">
        <v>0.41666666666666669</v>
      </c>
      <c r="W77" s="88">
        <f>IF(Table1[[#This Row],[Acknowledgemnet Time ]]="NA","",(Table1[[#This Row],[Acknowledgemnet Time ]]-Table1[[#This Row],[Fault Time]])*24)</f>
        <v>-9.2166666666666668</v>
      </c>
      <c r="X77" s="88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89">
        <f>IFERROR(Table1[[#This Row],[Breakdown Time]]*Table1[[#This Row],[Plant Equivalent Weightage]],"")</f>
        <v>6.539415776284456E-2</v>
      </c>
      <c r="AD77" s="2">
        <v>0.55000000000000004</v>
      </c>
      <c r="AE77" s="88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4">
        <f>YEAR(Table1[[#This Row],[Date]])+IF(MONTH(Table1[[#This Row],[Date]])&gt;=4,1,0)</f>
        <v>2026</v>
      </c>
      <c r="C78" s="73">
        <f>YEAR(Table1[[#This Row],[Date]])</f>
        <v>2025</v>
      </c>
      <c r="D78" s="73" t="s">
        <v>1082</v>
      </c>
      <c r="E78" s="73" t="s">
        <v>1082</v>
      </c>
      <c r="F78" s="170">
        <f>Table1[[#This Row],[Date]]-DAY(Table1[[#This Row],[Date]])+1</f>
        <v>45748</v>
      </c>
      <c r="G78">
        <f>DAY(EOMONTH(Table1[[#This Row],[Month Year]],0))</f>
        <v>30</v>
      </c>
      <c r="H78" s="103">
        <v>45751</v>
      </c>
      <c r="I78" s="75">
        <f>IFERROR(VLOOKUP(Table1[[#This Row],[Date]],Table3[[Date]:[Sunset Time (POA&lt;20 W/m2)]],3,0),"")</f>
        <v>0.25624999999999998</v>
      </c>
      <c r="J78" s="75">
        <f>IFERROR(VLOOKUP(Table1[[#This Row],[Date]],Table3[[Date]:[Sunset Time (POA&lt;20 W/m2)]],4,0),"")</f>
        <v>0.77083333333333337</v>
      </c>
      <c r="K78" s="76">
        <f>IFERROR((Table1[[#This Row],[Sunset Time (POA&lt;20 W/m2)]]-Table1[[#This Row],[Sunrise Time (POA&gt;20 W/m2)]])*24,"")</f>
        <v>12.350000000000001</v>
      </c>
      <c r="L78" s="107" t="s">
        <v>180</v>
      </c>
      <c r="M78" s="61">
        <f>VLOOKUP(Table1[[#This Row],[Affceted Equipment]],'Basic Data'!$A$2:$C$818,2,0)</f>
        <v>2694.6</v>
      </c>
      <c r="N78" s="92">
        <f>IFERROR(VLOOKUP(Table1[[#This Row],[Affceted Equipment]],'Basic Data'!$A$2:$C$818,3,0),"")</f>
        <v>0.33594733758057077</v>
      </c>
      <c r="O78" s="115" t="s">
        <v>323</v>
      </c>
      <c r="P78" s="93" t="s">
        <v>1089</v>
      </c>
      <c r="Q78" s="93"/>
      <c r="R78" s="93" t="s">
        <v>1089</v>
      </c>
      <c r="S78" s="91">
        <v>0.41666666666666669</v>
      </c>
      <c r="T78" s="116"/>
      <c r="U78" s="116"/>
      <c r="V78" s="91">
        <v>0.4236111111111111</v>
      </c>
      <c r="W78" s="88">
        <f>IF(Table1[[#This Row],[Acknowledgemnet Time ]]="NA","",(Table1[[#This Row],[Acknowledgemnet Time ]]-Table1[[#This Row],[Fault Time]])*24)</f>
        <v>-10</v>
      </c>
      <c r="X78" s="88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89">
        <f>IFERROR(Table1[[#This Row],[Breakdown Time]]*Table1[[#This Row],[Plant Equivalent Weightage]],"")</f>
        <v>5.5991222930094932E-2</v>
      </c>
      <c r="AD78" s="2">
        <v>0.14000000000000001</v>
      </c>
      <c r="AE78" s="88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4">
        <f>YEAR(Table1[[#This Row],[Date]])+IF(MONTH(Table1[[#This Row],[Date]])&gt;=4,1,0)</f>
        <v>2026</v>
      </c>
      <c r="C79" s="73">
        <f>YEAR(Table1[[#This Row],[Date]])</f>
        <v>2025</v>
      </c>
      <c r="D79" s="73" t="s">
        <v>1082</v>
      </c>
      <c r="E79" s="73" t="s">
        <v>1082</v>
      </c>
      <c r="F79" s="170">
        <f>Table1[[#This Row],[Date]]-DAY(Table1[[#This Row],[Date]])+1</f>
        <v>45748</v>
      </c>
      <c r="G79">
        <f>DAY(EOMONTH(Table1[[#This Row],[Month Year]],0))</f>
        <v>30</v>
      </c>
      <c r="H79" s="103">
        <v>45751</v>
      </c>
      <c r="I79" s="75">
        <f>IFERROR(VLOOKUP(Table1[[#This Row],[Date]],Table3[[Date]:[Sunset Time (POA&lt;20 W/m2)]],3,0),"")</f>
        <v>0.25624999999999998</v>
      </c>
      <c r="J79" s="75">
        <f>IFERROR(VLOOKUP(Table1[[#This Row],[Date]],Table3[[Date]:[Sunset Time (POA&lt;20 W/m2)]],4,0),"")</f>
        <v>0.77083333333333337</v>
      </c>
      <c r="K79" s="76">
        <f>IFERROR((Table1[[#This Row],[Sunset Time (POA&lt;20 W/m2)]]-Table1[[#This Row],[Sunrise Time (POA&gt;20 W/m2)]])*24,"")</f>
        <v>12.350000000000001</v>
      </c>
      <c r="L79" s="107" t="s">
        <v>231</v>
      </c>
      <c r="M79" s="61">
        <f>VLOOKUP(Table1[[#This Row],[Affceted Equipment]],'Basic Data'!$A$2:$C$818,2,0)</f>
        <v>669.6</v>
      </c>
      <c r="N79" s="92">
        <f>IFERROR(VLOOKUP(Table1[[#This Row],[Affceted Equipment]],'Basic Data'!$A$2:$C$818,3,0),"")</f>
        <v>8.348190352703562E-2</v>
      </c>
      <c r="O79" s="115" t="s">
        <v>323</v>
      </c>
      <c r="P79" s="93" t="s">
        <v>1088</v>
      </c>
      <c r="Q79" s="93"/>
      <c r="R79" s="93" t="s">
        <v>1088</v>
      </c>
      <c r="S79" s="91">
        <v>0.4236111111111111</v>
      </c>
      <c r="T79" s="116"/>
      <c r="U79" s="116"/>
      <c r="V79" s="91">
        <v>0.43402777777777779</v>
      </c>
      <c r="W79" s="88">
        <f>IF(Table1[[#This Row],[Acknowledgemnet Time ]]="NA","",(Table1[[#This Row],[Acknowledgemnet Time ]]-Table1[[#This Row],[Fault Time]])*24)</f>
        <v>-10.166666666666666</v>
      </c>
      <c r="X79" s="88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89">
        <f>IFERROR(Table1[[#This Row],[Breakdown Time]]*Table1[[#This Row],[Plant Equivalent Weightage]],"")</f>
        <v>2.0870475881758943E-2</v>
      </c>
      <c r="AD79" s="2">
        <v>0.22</v>
      </c>
      <c r="AE79" s="88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4">
        <f>YEAR(Table1[[#This Row],[Date]])+IF(MONTH(Table1[[#This Row],[Date]])&gt;=4,1,0)</f>
        <v>2026</v>
      </c>
      <c r="C80" s="73">
        <f>YEAR(Table1[[#This Row],[Date]])</f>
        <v>2025</v>
      </c>
      <c r="D80" s="73" t="s">
        <v>1082</v>
      </c>
      <c r="E80" s="73" t="s">
        <v>1082</v>
      </c>
      <c r="F80" s="170">
        <f>Table1[[#This Row],[Date]]-DAY(Table1[[#This Row],[Date]])+1</f>
        <v>45748</v>
      </c>
      <c r="G80">
        <f>DAY(EOMONTH(Table1[[#This Row],[Month Year]],0))</f>
        <v>30</v>
      </c>
      <c r="H80" s="103">
        <v>45751</v>
      </c>
      <c r="I80" s="75">
        <f>IFERROR(VLOOKUP(Table1[[#This Row],[Date]],Table3[[Date]:[Sunset Time (POA&lt;20 W/m2)]],3,0),"")</f>
        <v>0.25624999999999998</v>
      </c>
      <c r="J80" s="75">
        <f>IFERROR(VLOOKUP(Table1[[#This Row],[Date]],Table3[[Date]:[Sunset Time (POA&lt;20 W/m2)]],4,0),"")</f>
        <v>0.77083333333333337</v>
      </c>
      <c r="K80" s="76">
        <f>IFERROR((Table1[[#This Row],[Sunset Time (POA&lt;20 W/m2)]]-Table1[[#This Row],[Sunrise Time (POA&gt;20 W/m2)]])*24,"")</f>
        <v>12.350000000000001</v>
      </c>
      <c r="L80" s="107" t="s">
        <v>180</v>
      </c>
      <c r="M80" s="61">
        <f>VLOOKUP(Table1[[#This Row],[Affceted Equipment]],'Basic Data'!$A$2:$C$818,2,0)</f>
        <v>2694.6</v>
      </c>
      <c r="N80" s="92">
        <f>IFERROR(VLOOKUP(Table1[[#This Row],[Affceted Equipment]],'Basic Data'!$A$2:$C$818,3,0),"")</f>
        <v>0.33594733758057077</v>
      </c>
      <c r="O80" s="115" t="s">
        <v>323</v>
      </c>
      <c r="P80" s="93" t="s">
        <v>1089</v>
      </c>
      <c r="Q80" s="93"/>
      <c r="R80" s="93" t="s">
        <v>1089</v>
      </c>
      <c r="S80" s="91">
        <v>0.43402777777777779</v>
      </c>
      <c r="T80" s="116"/>
      <c r="U80" s="116"/>
      <c r="V80" s="91">
        <v>0.4375</v>
      </c>
      <c r="W80" s="88">
        <f>IF(Table1[[#This Row],[Acknowledgemnet Time ]]="NA","",(Table1[[#This Row],[Acknowledgemnet Time ]]-Table1[[#This Row],[Fault Time]])*24)</f>
        <v>-10.416666666666668</v>
      </c>
      <c r="X80" s="88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89">
        <f>IFERROR(Table1[[#This Row],[Breakdown Time]]*Table1[[#This Row],[Plant Equivalent Weightage]],"")</f>
        <v>2.7995611465047466E-2</v>
      </c>
      <c r="AD80" s="2">
        <v>0.08</v>
      </c>
      <c r="AE80" s="88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4">
        <f>YEAR(Table1[[#This Row],[Date]])+IF(MONTH(Table1[[#This Row],[Date]])&gt;=4,1,0)</f>
        <v>2026</v>
      </c>
      <c r="C81" s="73">
        <f>YEAR(Table1[[#This Row],[Date]])</f>
        <v>2025</v>
      </c>
      <c r="D81" s="73" t="s">
        <v>1082</v>
      </c>
      <c r="E81" s="73" t="s">
        <v>1082</v>
      </c>
      <c r="F81" s="170">
        <f>Table1[[#This Row],[Date]]-DAY(Table1[[#This Row],[Date]])+1</f>
        <v>45748</v>
      </c>
      <c r="G81">
        <f>DAY(EOMONTH(Table1[[#This Row],[Month Year]],0))</f>
        <v>30</v>
      </c>
      <c r="H81" s="103">
        <v>45751</v>
      </c>
      <c r="I81" s="75">
        <f>IFERROR(VLOOKUP(Table1[[#This Row],[Date]],Table3[[Date]:[Sunset Time (POA&lt;20 W/m2)]],3,0),"")</f>
        <v>0.25624999999999998</v>
      </c>
      <c r="J81" s="75">
        <f>IFERROR(VLOOKUP(Table1[[#This Row],[Date]],Table3[[Date]:[Sunset Time (POA&lt;20 W/m2)]],4,0),"")</f>
        <v>0.77083333333333337</v>
      </c>
      <c r="K81" s="76">
        <f>IFERROR((Table1[[#This Row],[Sunset Time (POA&lt;20 W/m2)]]-Table1[[#This Row],[Sunrise Time (POA&gt;20 W/m2)]])*24,"")</f>
        <v>12.350000000000001</v>
      </c>
      <c r="L81" s="107" t="s">
        <v>231</v>
      </c>
      <c r="M81" s="61">
        <f>VLOOKUP(Table1[[#This Row],[Affceted Equipment]],'Basic Data'!$A$2:$C$818,2,0)</f>
        <v>669.6</v>
      </c>
      <c r="N81" s="92">
        <f>IFERROR(VLOOKUP(Table1[[#This Row],[Affceted Equipment]],'Basic Data'!$A$2:$C$818,3,0),"")</f>
        <v>8.348190352703562E-2</v>
      </c>
      <c r="O81" s="115" t="s">
        <v>323</v>
      </c>
      <c r="P81" s="93" t="s">
        <v>1088</v>
      </c>
      <c r="Q81" s="93"/>
      <c r="R81" s="93" t="s">
        <v>1088</v>
      </c>
      <c r="S81" s="91">
        <v>0.4375</v>
      </c>
      <c r="T81" s="116"/>
      <c r="U81" s="116"/>
      <c r="V81" s="91">
        <v>0.44444444444444442</v>
      </c>
      <c r="W81" s="88">
        <f>IF(Table1[[#This Row],[Acknowledgemnet Time ]]="NA","",(Table1[[#This Row],[Acknowledgemnet Time ]]-Table1[[#This Row],[Fault Time]])*24)</f>
        <v>-10.5</v>
      </c>
      <c r="X81" s="88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89">
        <f>IFERROR(Table1[[#This Row],[Breakdown Time]]*Table1[[#This Row],[Plant Equivalent Weightage]],"")</f>
        <v>1.3913650587839221E-2</v>
      </c>
      <c r="AD81" s="2">
        <v>0.14000000000000001</v>
      </c>
      <c r="AE81" s="88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4">
        <f>YEAR(Table1[[#This Row],[Date]])+IF(MONTH(Table1[[#This Row],[Date]])&gt;=4,1,0)</f>
        <v>2026</v>
      </c>
      <c r="C82" s="73">
        <f>YEAR(Table1[[#This Row],[Date]])</f>
        <v>2025</v>
      </c>
      <c r="D82" s="73" t="s">
        <v>1082</v>
      </c>
      <c r="E82" s="73" t="s">
        <v>1082</v>
      </c>
      <c r="F82" s="170">
        <f>Table1[[#This Row],[Date]]-DAY(Table1[[#This Row],[Date]])+1</f>
        <v>45748</v>
      </c>
      <c r="G82">
        <f>DAY(EOMONTH(Table1[[#This Row],[Month Year]],0))</f>
        <v>30</v>
      </c>
      <c r="H82" s="103">
        <v>45751</v>
      </c>
      <c r="I82" s="75">
        <f>IFERROR(VLOOKUP(Table1[[#This Row],[Date]],Table3[[Date]:[Sunset Time (POA&lt;20 W/m2)]],3,0),"")</f>
        <v>0.25624999999999998</v>
      </c>
      <c r="J82" s="75">
        <f>IFERROR(VLOOKUP(Table1[[#This Row],[Date]],Table3[[Date]:[Sunset Time (POA&lt;20 W/m2)]],4,0),"")</f>
        <v>0.77083333333333337</v>
      </c>
      <c r="K82" s="76">
        <f>IFERROR((Table1[[#This Row],[Sunset Time (POA&lt;20 W/m2)]]-Table1[[#This Row],[Sunrise Time (POA&gt;20 W/m2)]])*24,"")</f>
        <v>12.350000000000001</v>
      </c>
      <c r="L82" s="107" t="s">
        <v>180</v>
      </c>
      <c r="M82" s="61">
        <f>VLOOKUP(Table1[[#This Row],[Affceted Equipment]],'Basic Data'!$A$2:$C$818,2,0)</f>
        <v>2694.6</v>
      </c>
      <c r="N82" s="92">
        <f>IFERROR(VLOOKUP(Table1[[#This Row],[Affceted Equipment]],'Basic Data'!$A$2:$C$818,3,0),"")</f>
        <v>0.33594733758057077</v>
      </c>
      <c r="O82" s="115" t="s">
        <v>323</v>
      </c>
      <c r="P82" s="93" t="s">
        <v>1089</v>
      </c>
      <c r="Q82" s="93"/>
      <c r="R82" s="93" t="s">
        <v>1089</v>
      </c>
      <c r="S82" s="91">
        <v>0.44444444444444442</v>
      </c>
      <c r="T82" s="116"/>
      <c r="U82" s="116"/>
      <c r="V82" s="91">
        <v>0.4465277777777778</v>
      </c>
      <c r="W82" s="88">
        <f>IF(Table1[[#This Row],[Acknowledgemnet Time ]]="NA","",(Table1[[#This Row],[Acknowledgemnet Time ]]-Table1[[#This Row],[Fault Time]])*24)</f>
        <v>-10.666666666666666</v>
      </c>
      <c r="X82" s="88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89">
        <f>IFERROR(Table1[[#This Row],[Breakdown Time]]*Table1[[#This Row],[Plant Equivalent Weightage]],"")</f>
        <v>1.6797366879028927E-2</v>
      </c>
      <c r="AD82" s="2">
        <v>0.05</v>
      </c>
      <c r="AE82" s="88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4">
        <f>YEAR(Table1[[#This Row],[Date]])+IF(MONTH(Table1[[#This Row],[Date]])&gt;=4,1,0)</f>
        <v>2026</v>
      </c>
      <c r="C83" s="73">
        <f>YEAR(Table1[[#This Row],[Date]])</f>
        <v>2025</v>
      </c>
      <c r="D83" s="73" t="s">
        <v>1082</v>
      </c>
      <c r="E83" s="73" t="s">
        <v>1082</v>
      </c>
      <c r="F83" s="170">
        <f>Table1[[#This Row],[Date]]-DAY(Table1[[#This Row],[Date]])+1</f>
        <v>45748</v>
      </c>
      <c r="G83">
        <f>DAY(EOMONTH(Table1[[#This Row],[Month Year]],0))</f>
        <v>30</v>
      </c>
      <c r="H83" s="103">
        <v>45751</v>
      </c>
      <c r="I83" s="75">
        <f>IFERROR(VLOOKUP(Table1[[#This Row],[Date]],Table3[[Date]:[Sunset Time (POA&lt;20 W/m2)]],3,0),"")</f>
        <v>0.25624999999999998</v>
      </c>
      <c r="J83" s="75">
        <f>IFERROR(VLOOKUP(Table1[[#This Row],[Date]],Table3[[Date]:[Sunset Time (POA&lt;20 W/m2)]],4,0),"")</f>
        <v>0.77083333333333337</v>
      </c>
      <c r="K83" s="76">
        <f>IFERROR((Table1[[#This Row],[Sunset Time (POA&lt;20 W/m2)]]-Table1[[#This Row],[Sunrise Time (POA&gt;20 W/m2)]])*24,"")</f>
        <v>12.350000000000001</v>
      </c>
      <c r="L83" s="107" t="s">
        <v>180</v>
      </c>
      <c r="M83" s="61">
        <f>VLOOKUP(Table1[[#This Row],[Affceted Equipment]],'Basic Data'!$A$2:$C$818,2,0)</f>
        <v>2694.6</v>
      </c>
      <c r="N83" s="92">
        <f>IFERROR(VLOOKUP(Table1[[#This Row],[Affceted Equipment]],'Basic Data'!$A$2:$C$818,3,0),"")</f>
        <v>0.33594733758057077</v>
      </c>
      <c r="O83" s="115" t="s">
        <v>323</v>
      </c>
      <c r="P83" s="93" t="s">
        <v>1089</v>
      </c>
      <c r="Q83" s="93"/>
      <c r="R83" s="93" t="s">
        <v>1089</v>
      </c>
      <c r="S83" s="91">
        <v>0.44722222222222224</v>
      </c>
      <c r="T83" s="116"/>
      <c r="U83" s="116"/>
      <c r="V83" s="91">
        <v>0.46527777777777779</v>
      </c>
      <c r="W83" s="88">
        <f>IF(Table1[[#This Row],[Acknowledgemnet Time ]]="NA","",(Table1[[#This Row],[Acknowledgemnet Time ]]-Table1[[#This Row],[Fault Time]])*24)</f>
        <v>-10.733333333333334</v>
      </c>
      <c r="X83" s="88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89">
        <f>IFERROR(Table1[[#This Row],[Breakdown Time]]*Table1[[#This Row],[Plant Equivalent Weightage]],"")</f>
        <v>0.14557717961824726</v>
      </c>
      <c r="AD83" s="2">
        <v>0.43</v>
      </c>
      <c r="AE83" s="88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4">
        <f>YEAR(Table1[[#This Row],[Date]])+IF(MONTH(Table1[[#This Row],[Date]])&gt;=4,1,0)</f>
        <v>2026</v>
      </c>
      <c r="C84" s="73">
        <f>YEAR(Table1[[#This Row],[Date]])</f>
        <v>2025</v>
      </c>
      <c r="D84" s="73" t="s">
        <v>1082</v>
      </c>
      <c r="E84" s="73" t="s">
        <v>1082</v>
      </c>
      <c r="F84" s="170">
        <f>Table1[[#This Row],[Date]]-DAY(Table1[[#This Row],[Date]])+1</f>
        <v>45748</v>
      </c>
      <c r="G84">
        <f>DAY(EOMONTH(Table1[[#This Row],[Month Year]],0))</f>
        <v>30</v>
      </c>
      <c r="H84" s="103">
        <v>45751</v>
      </c>
      <c r="I84" s="75">
        <f>IFERROR(VLOOKUP(Table1[[#This Row],[Date]],Table3[[Date]:[Sunset Time (POA&lt;20 W/m2)]],3,0),"")</f>
        <v>0.25624999999999998</v>
      </c>
      <c r="J84" s="75">
        <f>IFERROR(VLOOKUP(Table1[[#This Row],[Date]],Table3[[Date]:[Sunset Time (POA&lt;20 W/m2)]],4,0),"")</f>
        <v>0.77083333333333337</v>
      </c>
      <c r="K84" s="76">
        <f>IFERROR((Table1[[#This Row],[Sunset Time (POA&lt;20 W/m2)]]-Table1[[#This Row],[Sunrise Time (POA&gt;20 W/m2)]])*24,"")</f>
        <v>12.350000000000001</v>
      </c>
      <c r="L84" s="107" t="s">
        <v>231</v>
      </c>
      <c r="M84" s="61">
        <f>VLOOKUP(Table1[[#This Row],[Affceted Equipment]],'Basic Data'!$A$2:$C$818,2,0)</f>
        <v>669.6</v>
      </c>
      <c r="N84" s="92">
        <f>IFERROR(VLOOKUP(Table1[[#This Row],[Affceted Equipment]],'Basic Data'!$A$2:$C$818,3,0),"")</f>
        <v>8.348190352703562E-2</v>
      </c>
      <c r="O84" s="115" t="s">
        <v>323</v>
      </c>
      <c r="P84" s="93" t="s">
        <v>1088</v>
      </c>
      <c r="Q84" s="93"/>
      <c r="R84" s="93" t="s">
        <v>1088</v>
      </c>
      <c r="S84" s="91">
        <v>0.46527777777777779</v>
      </c>
      <c r="T84" s="116"/>
      <c r="U84" s="116"/>
      <c r="V84" s="91">
        <v>0.46875</v>
      </c>
      <c r="W84" s="88">
        <f>IF(Table1[[#This Row],[Acknowledgemnet Time ]]="NA","",(Table1[[#This Row],[Acknowledgemnet Time ]]-Table1[[#This Row],[Fault Time]])*24)</f>
        <v>-11.166666666666668</v>
      </c>
      <c r="X84" s="88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89">
        <f>IFERROR(Table1[[#This Row],[Breakdown Time]]*Table1[[#This Row],[Plant Equivalent Weightage]],"")</f>
        <v>6.9568252939196107E-3</v>
      </c>
      <c r="AD84" s="2">
        <v>0.09</v>
      </c>
      <c r="AE84" s="88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4">
        <f>YEAR(Table1[[#This Row],[Date]])+IF(MONTH(Table1[[#This Row],[Date]])&gt;=4,1,0)</f>
        <v>2026</v>
      </c>
      <c r="C85" s="73">
        <f>YEAR(Table1[[#This Row],[Date]])</f>
        <v>2025</v>
      </c>
      <c r="D85" s="73" t="s">
        <v>1082</v>
      </c>
      <c r="E85" s="73" t="s">
        <v>1082</v>
      </c>
      <c r="F85" s="170">
        <f>Table1[[#This Row],[Date]]-DAY(Table1[[#This Row],[Date]])+1</f>
        <v>45748</v>
      </c>
      <c r="G85">
        <f>DAY(EOMONTH(Table1[[#This Row],[Month Year]],0))</f>
        <v>30</v>
      </c>
      <c r="H85" s="103">
        <v>45751</v>
      </c>
      <c r="I85" s="75">
        <f>IFERROR(VLOOKUP(Table1[[#This Row],[Date]],Table3[[Date]:[Sunset Time (POA&lt;20 W/m2)]],3,0),"")</f>
        <v>0.25624999999999998</v>
      </c>
      <c r="J85" s="75">
        <f>IFERROR(VLOOKUP(Table1[[#This Row],[Date]],Table3[[Date]:[Sunset Time (POA&lt;20 W/m2)]],4,0),"")</f>
        <v>0.77083333333333337</v>
      </c>
      <c r="K85" s="76">
        <f>IFERROR((Table1[[#This Row],[Sunset Time (POA&lt;20 W/m2)]]-Table1[[#This Row],[Sunrise Time (POA&gt;20 W/m2)]])*24,"")</f>
        <v>12.350000000000001</v>
      </c>
      <c r="L85" s="107" t="s">
        <v>180</v>
      </c>
      <c r="M85" s="90">
        <f>VLOOKUP(Table1[[#This Row],[Affceted Equipment]],'Basic Data'!$A$2:$C$818,2,0)</f>
        <v>2694.6</v>
      </c>
      <c r="N85" s="92">
        <f>IFERROR(VLOOKUP(Table1[[#This Row],[Affceted Equipment]],'Basic Data'!$A$2:$C$818,3,0),"")</f>
        <v>0.33594733758057077</v>
      </c>
      <c r="O85" s="115" t="s">
        <v>323</v>
      </c>
      <c r="P85" s="93" t="s">
        <v>1089</v>
      </c>
      <c r="Q85" s="93"/>
      <c r="R85" s="93" t="s">
        <v>1089</v>
      </c>
      <c r="S85" s="91">
        <v>0.46875</v>
      </c>
      <c r="T85" s="116"/>
      <c r="U85" s="116"/>
      <c r="V85" s="91">
        <v>0.5</v>
      </c>
      <c r="W85" s="88">
        <f>IF(Table1[[#This Row],[Acknowledgemnet Time ]]="NA","",(Table1[[#This Row],[Acknowledgemnet Time ]]-Table1[[#This Row],[Fault Time]])*24)</f>
        <v>-11.25</v>
      </c>
      <c r="X85" s="88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89">
        <f>IFERROR(Table1[[#This Row],[Breakdown Time]]*Table1[[#This Row],[Plant Equivalent Weightage]],"")</f>
        <v>0.25196050318542806</v>
      </c>
      <c r="AD85" s="2">
        <v>0.73</v>
      </c>
      <c r="AE85" s="88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4">
        <f>YEAR(Table1[[#This Row],[Date]])+IF(MONTH(Table1[[#This Row],[Date]])&gt;=4,1,0)</f>
        <v>2026</v>
      </c>
      <c r="C86" s="73">
        <f>YEAR(Table1[[#This Row],[Date]])</f>
        <v>2025</v>
      </c>
      <c r="D86" s="73" t="s">
        <v>1082</v>
      </c>
      <c r="E86" s="73" t="s">
        <v>1082</v>
      </c>
      <c r="F86" s="170">
        <f>Table1[[#This Row],[Date]]-DAY(Table1[[#This Row],[Date]])+1</f>
        <v>45748</v>
      </c>
      <c r="G86">
        <f>DAY(EOMONTH(Table1[[#This Row],[Month Year]],0))</f>
        <v>30</v>
      </c>
      <c r="H86" s="103">
        <v>45751</v>
      </c>
      <c r="I86" s="75">
        <f>IFERROR(VLOOKUP(Table1[[#This Row],[Date]],Table3[[Date]:[Sunset Time (POA&lt;20 W/m2)]],3,0),"")</f>
        <v>0.25624999999999998</v>
      </c>
      <c r="J86" s="75">
        <f>IFERROR(VLOOKUP(Table1[[#This Row],[Date]],Table3[[Date]:[Sunset Time (POA&lt;20 W/m2)]],4,0),"")</f>
        <v>0.77083333333333337</v>
      </c>
      <c r="K86" s="76">
        <f>IFERROR((Table1[[#This Row],[Sunset Time (POA&lt;20 W/m2)]]-Table1[[#This Row],[Sunrise Time (POA&gt;20 W/m2)]])*24,"")</f>
        <v>12.350000000000001</v>
      </c>
      <c r="L86" s="107" t="s">
        <v>231</v>
      </c>
      <c r="M86" s="61">
        <f>VLOOKUP(Table1[[#This Row],[Affceted Equipment]],'Basic Data'!$A$2:$C$818,2,0)</f>
        <v>669.6</v>
      </c>
      <c r="N86" s="92">
        <f>IFERROR(VLOOKUP(Table1[[#This Row],[Affceted Equipment]],'Basic Data'!$A$2:$C$818,3,0),"")</f>
        <v>8.348190352703562E-2</v>
      </c>
      <c r="O86" s="115" t="s">
        <v>323</v>
      </c>
      <c r="P86" s="93" t="s">
        <v>1088</v>
      </c>
      <c r="Q86" s="93"/>
      <c r="R86" s="93" t="s">
        <v>1088</v>
      </c>
      <c r="S86" s="91">
        <v>0.5</v>
      </c>
      <c r="T86" s="116"/>
      <c r="U86" s="116"/>
      <c r="V86" s="91">
        <v>0.50277777777777777</v>
      </c>
      <c r="W86" s="88">
        <f>IF(Table1[[#This Row],[Acknowledgemnet Time ]]="NA","",(Table1[[#This Row],[Acknowledgemnet Time ]]-Table1[[#This Row],[Fault Time]])*24)</f>
        <v>-12</v>
      </c>
      <c r="X86" s="88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89">
        <f>IFERROR(Table1[[#This Row],[Breakdown Time]]*Table1[[#This Row],[Plant Equivalent Weightage]],"")</f>
        <v>5.5654602351356882E-3</v>
      </c>
      <c r="AD86" s="2">
        <v>0.08</v>
      </c>
      <c r="AE86" s="88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4">
        <f>YEAR(Table1[[#This Row],[Date]])+IF(MONTH(Table1[[#This Row],[Date]])&gt;=4,1,0)</f>
        <v>2026</v>
      </c>
      <c r="C87" s="73">
        <f>YEAR(Table1[[#This Row],[Date]])</f>
        <v>2025</v>
      </c>
      <c r="D87" s="73" t="s">
        <v>1082</v>
      </c>
      <c r="E87" s="73" t="s">
        <v>1082</v>
      </c>
      <c r="F87" s="170">
        <f>Table1[[#This Row],[Date]]-DAY(Table1[[#This Row],[Date]])+1</f>
        <v>45748</v>
      </c>
      <c r="G87">
        <f>DAY(EOMONTH(Table1[[#This Row],[Month Year]],0))</f>
        <v>30</v>
      </c>
      <c r="H87" s="103">
        <v>45751</v>
      </c>
      <c r="I87" s="75">
        <f>IFERROR(VLOOKUP(Table1[[#This Row],[Date]],Table3[[Date]:[Sunset Time (POA&lt;20 W/m2)]],3,0),"")</f>
        <v>0.25624999999999998</v>
      </c>
      <c r="J87" s="75">
        <f>IFERROR(VLOOKUP(Table1[[#This Row],[Date]],Table3[[Date]:[Sunset Time (POA&lt;20 W/m2)]],4,0),"")</f>
        <v>0.77083333333333337</v>
      </c>
      <c r="K87" s="76">
        <f>IFERROR((Table1[[#This Row],[Sunset Time (POA&lt;20 W/m2)]]-Table1[[#This Row],[Sunrise Time (POA&gt;20 W/m2)]])*24,"")</f>
        <v>12.350000000000001</v>
      </c>
      <c r="L87" s="107" t="s">
        <v>180</v>
      </c>
      <c r="M87" s="90">
        <f>VLOOKUP(Table1[[#This Row],[Affceted Equipment]],'Basic Data'!$A$2:$C$818,2,0)</f>
        <v>2694.6</v>
      </c>
      <c r="N87" s="92">
        <f>IFERROR(VLOOKUP(Table1[[#This Row],[Affceted Equipment]],'Basic Data'!$A$2:$C$818,3,0),"")</f>
        <v>0.33594733758057077</v>
      </c>
      <c r="O87" s="115" t="s">
        <v>323</v>
      </c>
      <c r="P87" s="93" t="s">
        <v>1089</v>
      </c>
      <c r="Q87" s="93"/>
      <c r="R87" s="93" t="s">
        <v>1089</v>
      </c>
      <c r="S87" s="91">
        <v>0.50277777777777777</v>
      </c>
      <c r="T87" s="116"/>
      <c r="U87" s="116"/>
      <c r="V87" s="91">
        <v>0.55138888888888893</v>
      </c>
      <c r="W87" s="88">
        <f>IF(Table1[[#This Row],[Acknowledgemnet Time ]]="NA","",(Table1[[#This Row],[Acknowledgemnet Time ]]-Table1[[#This Row],[Fault Time]])*24)</f>
        <v>-12.066666666666666</v>
      </c>
      <c r="X87" s="88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89">
        <f>IFERROR(Table1[[#This Row],[Breakdown Time]]*Table1[[#This Row],[Plant Equivalent Weightage]],"")</f>
        <v>0.39193856051066628</v>
      </c>
      <c r="AD87" s="2">
        <v>1.1100000000000001</v>
      </c>
      <c r="AE87" s="88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4">
        <f>YEAR(Table1[[#This Row],[Date]])+IF(MONTH(Table1[[#This Row],[Date]])&gt;=4,1,0)</f>
        <v>2026</v>
      </c>
      <c r="C88" s="73">
        <f>YEAR(Table1[[#This Row],[Date]])</f>
        <v>2025</v>
      </c>
      <c r="D88" s="73" t="s">
        <v>1082</v>
      </c>
      <c r="E88" s="73" t="s">
        <v>1082</v>
      </c>
      <c r="F88" s="170">
        <f>Table1[[#This Row],[Date]]-DAY(Table1[[#This Row],[Date]])+1</f>
        <v>45748</v>
      </c>
      <c r="G88">
        <f>DAY(EOMONTH(Table1[[#This Row],[Month Year]],0))</f>
        <v>30</v>
      </c>
      <c r="H88" s="103">
        <v>45751</v>
      </c>
      <c r="I88" s="75">
        <f>IFERROR(VLOOKUP(Table1[[#This Row],[Date]],Table3[[Date]:[Sunset Time (POA&lt;20 W/m2)]],3,0),"")</f>
        <v>0.25624999999999998</v>
      </c>
      <c r="J88" s="75">
        <f>IFERROR(VLOOKUP(Table1[[#This Row],[Date]],Table3[[Date]:[Sunset Time (POA&lt;20 W/m2)]],4,0),"")</f>
        <v>0.77083333333333337</v>
      </c>
      <c r="K88" s="76">
        <f>IFERROR((Table1[[#This Row],[Sunset Time (POA&lt;20 W/m2)]]-Table1[[#This Row],[Sunrise Time (POA&gt;20 W/m2)]])*24,"")</f>
        <v>12.350000000000001</v>
      </c>
      <c r="L88" s="107" t="s">
        <v>231</v>
      </c>
      <c r="M88" s="61">
        <f>VLOOKUP(Table1[[#This Row],[Affceted Equipment]],'Basic Data'!$A$2:$C$818,2,0)</f>
        <v>669.6</v>
      </c>
      <c r="N88" s="92">
        <f>IFERROR(VLOOKUP(Table1[[#This Row],[Affceted Equipment]],'Basic Data'!$A$2:$C$818,3,0),"")</f>
        <v>8.348190352703562E-2</v>
      </c>
      <c r="O88" s="115" t="s">
        <v>323</v>
      </c>
      <c r="P88" s="93" t="s">
        <v>1088</v>
      </c>
      <c r="Q88" s="93"/>
      <c r="R88" s="93" t="s">
        <v>1088</v>
      </c>
      <c r="S88" s="91">
        <v>0.55138888888888893</v>
      </c>
      <c r="T88" s="116"/>
      <c r="U88" s="116"/>
      <c r="V88" s="91">
        <v>0.57291666666666663</v>
      </c>
      <c r="W88" s="88">
        <f>IF(Table1[[#This Row],[Acknowledgemnet Time ]]="NA","",(Table1[[#This Row],[Acknowledgemnet Time ]]-Table1[[#This Row],[Fault Time]])*24)</f>
        <v>-13.233333333333334</v>
      </c>
      <c r="X88" s="88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89">
        <f>IFERROR(Table1[[#This Row],[Breakdown Time]]*Table1[[#This Row],[Plant Equivalent Weightage]],"")</f>
        <v>4.3132316822301585E-2</v>
      </c>
      <c r="AD88" s="2">
        <v>0.44</v>
      </c>
      <c r="AE88" s="88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4">
        <f>YEAR(Table1[[#This Row],[Date]])+IF(MONTH(Table1[[#This Row],[Date]])&gt;=4,1,0)</f>
        <v>2026</v>
      </c>
      <c r="C89" s="73">
        <f>YEAR(Table1[[#This Row],[Date]])</f>
        <v>2025</v>
      </c>
      <c r="D89" s="73" t="s">
        <v>1082</v>
      </c>
      <c r="E89" s="73" t="s">
        <v>1082</v>
      </c>
      <c r="F89" s="170">
        <f>Table1[[#This Row],[Date]]-DAY(Table1[[#This Row],[Date]])+1</f>
        <v>45748</v>
      </c>
      <c r="G89">
        <f>DAY(EOMONTH(Table1[[#This Row],[Month Year]],0))</f>
        <v>30</v>
      </c>
      <c r="H89" s="103">
        <v>45751</v>
      </c>
      <c r="I89" s="75">
        <f>IFERROR(VLOOKUP(Table1[[#This Row],[Date]],Table3[[Date]:[Sunset Time (POA&lt;20 W/m2)]],3,0),"")</f>
        <v>0.25624999999999998</v>
      </c>
      <c r="J89" s="75">
        <f>IFERROR(VLOOKUP(Table1[[#This Row],[Date]],Table3[[Date]:[Sunset Time (POA&lt;20 W/m2)]],4,0),"")</f>
        <v>0.77083333333333337</v>
      </c>
      <c r="K89" s="76">
        <f>IFERROR((Table1[[#This Row],[Sunset Time (POA&lt;20 W/m2)]]-Table1[[#This Row],[Sunrise Time (POA&gt;20 W/m2)]])*24,"")</f>
        <v>12.350000000000001</v>
      </c>
      <c r="L89" s="107" t="s">
        <v>232</v>
      </c>
      <c r="M89" s="90">
        <f>VLOOKUP(Table1[[#This Row],[Affceted Equipment]],'Basic Data'!$A$2:$C$818,2,0)</f>
        <v>669.6</v>
      </c>
      <c r="N89" s="92">
        <f>IFERROR(VLOOKUP(Table1[[#This Row],[Affceted Equipment]],'Basic Data'!$A$2:$C$818,3,0),"")</f>
        <v>8.348190352703562E-2</v>
      </c>
      <c r="O89" s="115" t="s">
        <v>323</v>
      </c>
      <c r="P89" s="93" t="s">
        <v>1090</v>
      </c>
      <c r="Q89" s="93"/>
      <c r="R89" s="93" t="s">
        <v>1090</v>
      </c>
      <c r="S89" s="91">
        <v>0.55138888888888893</v>
      </c>
      <c r="T89" s="116"/>
      <c r="U89" s="116"/>
      <c r="V89" s="91">
        <v>0.57291666666666663</v>
      </c>
      <c r="W89" s="88">
        <f>IF(Table1[[#This Row],[Acknowledgemnet Time ]]="NA","",(Table1[[#This Row],[Acknowledgemnet Time ]]-Table1[[#This Row],[Fault Time]])*24)</f>
        <v>-13.233333333333334</v>
      </c>
      <c r="X89" s="88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89">
        <f>IFERROR(Table1[[#This Row],[Breakdown Time]]*Table1[[#This Row],[Plant Equivalent Weightage]],"")</f>
        <v>4.3132316822301585E-2</v>
      </c>
      <c r="AD89" s="2">
        <v>0.44</v>
      </c>
      <c r="AE89" s="88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4">
        <f>YEAR(Table1[[#This Row],[Date]])+IF(MONTH(Table1[[#This Row],[Date]])&gt;=4,1,0)</f>
        <v>2026</v>
      </c>
      <c r="C90" s="73">
        <f>YEAR(Table1[[#This Row],[Date]])</f>
        <v>2025</v>
      </c>
      <c r="D90" s="73" t="s">
        <v>1082</v>
      </c>
      <c r="E90" s="73" t="s">
        <v>1082</v>
      </c>
      <c r="F90" s="170">
        <f>Table1[[#This Row],[Date]]-DAY(Table1[[#This Row],[Date]])+1</f>
        <v>45748</v>
      </c>
      <c r="G90">
        <f>DAY(EOMONTH(Table1[[#This Row],[Month Year]],0))</f>
        <v>30</v>
      </c>
      <c r="H90" s="103">
        <v>45751</v>
      </c>
      <c r="I90" s="75">
        <f>IFERROR(VLOOKUP(Table1[[#This Row],[Date]],Table3[[Date]:[Sunset Time (POA&lt;20 W/m2)]],3,0),"")</f>
        <v>0.25624999999999998</v>
      </c>
      <c r="J90" s="75">
        <f>IFERROR(VLOOKUP(Table1[[#This Row],[Date]],Table3[[Date]:[Sunset Time (POA&lt;20 W/m2)]],4,0),"")</f>
        <v>0.77083333333333337</v>
      </c>
      <c r="K90" s="76">
        <f>IFERROR((Table1[[#This Row],[Sunset Time (POA&lt;20 W/m2)]]-Table1[[#This Row],[Sunrise Time (POA&gt;20 W/m2)]])*24,"")</f>
        <v>12.350000000000001</v>
      </c>
      <c r="L90" s="107" t="s">
        <v>180</v>
      </c>
      <c r="M90" s="61">
        <f>VLOOKUP(Table1[[#This Row],[Affceted Equipment]],'Basic Data'!$A$2:$C$818,2,0)</f>
        <v>2694.6</v>
      </c>
      <c r="N90" s="92">
        <f>IFERROR(VLOOKUP(Table1[[#This Row],[Affceted Equipment]],'Basic Data'!$A$2:$C$818,3,0),"")</f>
        <v>0.33594733758057077</v>
      </c>
      <c r="O90" s="115" t="s">
        <v>323</v>
      </c>
      <c r="P90" s="93" t="s">
        <v>1089</v>
      </c>
      <c r="Q90" s="93"/>
      <c r="R90" s="93" t="s">
        <v>1089</v>
      </c>
      <c r="S90" s="91">
        <v>0.57291666666666663</v>
      </c>
      <c r="T90" s="116"/>
      <c r="U90" s="116"/>
      <c r="V90" s="91">
        <v>0.57708333333333328</v>
      </c>
      <c r="W90" s="88">
        <f>IF(Table1[[#This Row],[Acknowledgemnet Time ]]="NA","",(Table1[[#This Row],[Acknowledgemnet Time ]]-Table1[[#This Row],[Fault Time]])*24)</f>
        <v>-13.75</v>
      </c>
      <c r="X90" s="88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89">
        <f>IFERROR(Table1[[#This Row],[Breakdown Time]]*Table1[[#This Row],[Plant Equivalent Weightage]],"")</f>
        <v>3.3594733758056959E-2</v>
      </c>
      <c r="AD90" s="2">
        <v>0.12</v>
      </c>
      <c r="AE90" s="88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4">
        <f>YEAR(Table1[[#This Row],[Date]])+IF(MONTH(Table1[[#This Row],[Date]])&gt;=4,1,0)</f>
        <v>2026</v>
      </c>
      <c r="C91" s="73">
        <f>YEAR(Table1[[#This Row],[Date]])</f>
        <v>2025</v>
      </c>
      <c r="D91" s="73" t="s">
        <v>1082</v>
      </c>
      <c r="E91" s="73" t="s">
        <v>1082</v>
      </c>
      <c r="F91" s="170">
        <f>Table1[[#This Row],[Date]]-DAY(Table1[[#This Row],[Date]])+1</f>
        <v>45748</v>
      </c>
      <c r="G91">
        <f>DAY(EOMONTH(Table1[[#This Row],[Month Year]],0))</f>
        <v>30</v>
      </c>
      <c r="H91" s="103">
        <v>45751</v>
      </c>
      <c r="I91" s="75">
        <f>IFERROR(VLOOKUP(Table1[[#This Row],[Date]],Table3[[Date]:[Sunset Time (POA&lt;20 W/m2)]],3,0),"")</f>
        <v>0.25624999999999998</v>
      </c>
      <c r="J91" s="75">
        <f>IFERROR(VLOOKUP(Table1[[#This Row],[Date]],Table3[[Date]:[Sunset Time (POA&lt;20 W/m2)]],4,0),"")</f>
        <v>0.77083333333333337</v>
      </c>
      <c r="K91" s="76">
        <f>IFERROR((Table1[[#This Row],[Sunset Time (POA&lt;20 W/m2)]]-Table1[[#This Row],[Sunrise Time (POA&gt;20 W/m2)]])*24,"")</f>
        <v>12.350000000000001</v>
      </c>
      <c r="L91" s="107" t="s">
        <v>231</v>
      </c>
      <c r="M91" s="61">
        <f>VLOOKUP(Table1[[#This Row],[Affceted Equipment]],'Basic Data'!$A$2:$C$818,2,0)</f>
        <v>669.6</v>
      </c>
      <c r="N91" s="92">
        <f>IFERROR(VLOOKUP(Table1[[#This Row],[Affceted Equipment]],'Basic Data'!$A$2:$C$818,3,0),"")</f>
        <v>8.348190352703562E-2</v>
      </c>
      <c r="O91" s="115" t="s">
        <v>323</v>
      </c>
      <c r="P91" s="93" t="s">
        <v>1088</v>
      </c>
      <c r="Q91" s="93"/>
      <c r="R91" s="93" t="s">
        <v>1088</v>
      </c>
      <c r="S91" s="91">
        <v>0.57708333333333328</v>
      </c>
      <c r="T91" s="116"/>
      <c r="U91" s="116"/>
      <c r="V91" s="91">
        <v>0.60277777777777775</v>
      </c>
      <c r="W91" s="88">
        <f>IF(Table1[[#This Row],[Acknowledgemnet Time ]]="NA","",(Table1[[#This Row],[Acknowledgemnet Time ]]-Table1[[#This Row],[Fault Time]])*24)</f>
        <v>-13.849999999999998</v>
      </c>
      <c r="X91" s="88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89">
        <f>IFERROR(Table1[[#This Row],[Breakdown Time]]*Table1[[#This Row],[Plant Equivalent Weightage]],"")</f>
        <v>5.1480507175005338E-2</v>
      </c>
      <c r="AD91" s="2">
        <v>0.53</v>
      </c>
      <c r="AE91" s="88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4">
        <f>YEAR(Table1[[#This Row],[Date]])+IF(MONTH(Table1[[#This Row],[Date]])&gt;=4,1,0)</f>
        <v>2026</v>
      </c>
      <c r="C92" s="73">
        <f>YEAR(Table1[[#This Row],[Date]])</f>
        <v>2025</v>
      </c>
      <c r="D92" s="73" t="s">
        <v>1082</v>
      </c>
      <c r="E92" s="73" t="s">
        <v>1082</v>
      </c>
      <c r="F92" s="170">
        <f>Table1[[#This Row],[Date]]-DAY(Table1[[#This Row],[Date]])+1</f>
        <v>45748</v>
      </c>
      <c r="G92">
        <f>DAY(EOMONTH(Table1[[#This Row],[Month Year]],0))</f>
        <v>30</v>
      </c>
      <c r="H92" s="103">
        <v>45751</v>
      </c>
      <c r="I92" s="75">
        <f>IFERROR(VLOOKUP(Table1[[#This Row],[Date]],Table3[[Date]:[Sunset Time (POA&lt;20 W/m2)]],3,0),"")</f>
        <v>0.25624999999999998</v>
      </c>
      <c r="J92" s="75">
        <f>IFERROR(VLOOKUP(Table1[[#This Row],[Date]],Table3[[Date]:[Sunset Time (POA&lt;20 W/m2)]],4,0),"")</f>
        <v>0.77083333333333337</v>
      </c>
      <c r="K92" s="76">
        <f>IFERROR((Table1[[#This Row],[Sunset Time (POA&lt;20 W/m2)]]-Table1[[#This Row],[Sunrise Time (POA&gt;20 W/m2)]])*24,"")</f>
        <v>12.350000000000001</v>
      </c>
      <c r="L92" s="107" t="s">
        <v>232</v>
      </c>
      <c r="M92" s="90">
        <f>VLOOKUP(Table1[[#This Row],[Affceted Equipment]],'Basic Data'!$A$2:$C$818,2,0)</f>
        <v>669.6</v>
      </c>
      <c r="N92" s="92">
        <f>IFERROR(VLOOKUP(Table1[[#This Row],[Affceted Equipment]],'Basic Data'!$A$2:$C$818,3,0),"")</f>
        <v>8.348190352703562E-2</v>
      </c>
      <c r="O92" s="115" t="s">
        <v>323</v>
      </c>
      <c r="P92" s="93" t="s">
        <v>1090</v>
      </c>
      <c r="Q92" s="93"/>
      <c r="R92" s="93" t="s">
        <v>1090</v>
      </c>
      <c r="S92" s="91">
        <v>0.57708333333333328</v>
      </c>
      <c r="T92" s="116"/>
      <c r="U92" s="116"/>
      <c r="V92" s="91">
        <v>0.60277777777777775</v>
      </c>
      <c r="W92" s="88">
        <f>IF(Table1[[#This Row],[Acknowledgemnet Time ]]="NA","",(Table1[[#This Row],[Acknowledgemnet Time ]]-Table1[[#This Row],[Fault Time]])*24)</f>
        <v>-13.849999999999998</v>
      </c>
      <c r="X92" s="88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89">
        <f>IFERROR(Table1[[#This Row],[Breakdown Time]]*Table1[[#This Row],[Plant Equivalent Weightage]],"")</f>
        <v>5.1480507175005338E-2</v>
      </c>
      <c r="AD92" s="2">
        <v>0.53</v>
      </c>
      <c r="AE92" s="88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4">
        <f>YEAR(Table1[[#This Row],[Date]])+IF(MONTH(Table1[[#This Row],[Date]])&gt;=4,1,0)</f>
        <v>2026</v>
      </c>
      <c r="C93" s="73">
        <f>YEAR(Table1[[#This Row],[Date]])</f>
        <v>2025</v>
      </c>
      <c r="D93" s="73" t="s">
        <v>1082</v>
      </c>
      <c r="E93" s="73" t="s">
        <v>1082</v>
      </c>
      <c r="F93" s="170">
        <f>Table1[[#This Row],[Date]]-DAY(Table1[[#This Row],[Date]])+1</f>
        <v>45748</v>
      </c>
      <c r="G93">
        <f>DAY(EOMONTH(Table1[[#This Row],[Month Year]],0))</f>
        <v>30</v>
      </c>
      <c r="H93" s="103">
        <v>45751</v>
      </c>
      <c r="I93" s="75">
        <f>IFERROR(VLOOKUP(Table1[[#This Row],[Date]],Table3[[Date]:[Sunset Time (POA&lt;20 W/m2)]],3,0),"")</f>
        <v>0.25624999999999998</v>
      </c>
      <c r="J93" s="75">
        <f>IFERROR(VLOOKUP(Table1[[#This Row],[Date]],Table3[[Date]:[Sunset Time (POA&lt;20 W/m2)]],4,0),"")</f>
        <v>0.77083333333333337</v>
      </c>
      <c r="K93" s="76">
        <f>IFERROR((Table1[[#This Row],[Sunset Time (POA&lt;20 W/m2)]]-Table1[[#This Row],[Sunrise Time (POA&gt;20 W/m2)]])*24,"")</f>
        <v>12.350000000000001</v>
      </c>
      <c r="L93" s="107" t="s">
        <v>180</v>
      </c>
      <c r="M93" s="61">
        <f>VLOOKUP(Table1[[#This Row],[Affceted Equipment]],'Basic Data'!$A$2:$C$818,2,0)</f>
        <v>2694.6</v>
      </c>
      <c r="N93" s="92">
        <f>IFERROR(VLOOKUP(Table1[[#This Row],[Affceted Equipment]],'Basic Data'!$A$2:$C$818,3,0),"")</f>
        <v>0.33594733758057077</v>
      </c>
      <c r="O93" s="115" t="s">
        <v>323</v>
      </c>
      <c r="P93" s="93" t="s">
        <v>1089</v>
      </c>
      <c r="Q93" s="93"/>
      <c r="R93" s="93" t="s">
        <v>1089</v>
      </c>
      <c r="S93" s="91">
        <v>0.60277777777777775</v>
      </c>
      <c r="T93" s="116"/>
      <c r="U93" s="116"/>
      <c r="V93" s="91">
        <v>0.60624999999999996</v>
      </c>
      <c r="W93" s="88">
        <f>IF(Table1[[#This Row],[Acknowledgemnet Time ]]="NA","",(Table1[[#This Row],[Acknowledgemnet Time ]]-Table1[[#This Row],[Fault Time]])*24)</f>
        <v>-14.466666666666665</v>
      </c>
      <c r="X93" s="88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89">
        <f>IFERROR(Table1[[#This Row],[Breakdown Time]]*Table1[[#This Row],[Plant Equivalent Weightage]],"")</f>
        <v>2.7995611465047466E-2</v>
      </c>
      <c r="AD93" s="2">
        <v>0.09</v>
      </c>
      <c r="AE93" s="88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4">
        <f>YEAR(Table1[[#This Row],[Date]])+IF(MONTH(Table1[[#This Row],[Date]])&gt;=4,1,0)</f>
        <v>2026</v>
      </c>
      <c r="C94" s="73">
        <f>YEAR(Table1[[#This Row],[Date]])</f>
        <v>2025</v>
      </c>
      <c r="D94" s="73" t="s">
        <v>1082</v>
      </c>
      <c r="E94" s="73" t="s">
        <v>1082</v>
      </c>
      <c r="F94" s="170">
        <f>Table1[[#This Row],[Date]]-DAY(Table1[[#This Row],[Date]])+1</f>
        <v>45748</v>
      </c>
      <c r="G94">
        <f>DAY(EOMONTH(Table1[[#This Row],[Month Year]],0))</f>
        <v>30</v>
      </c>
      <c r="H94" s="103">
        <v>45751</v>
      </c>
      <c r="I94" s="75">
        <f>IFERROR(VLOOKUP(Table1[[#This Row],[Date]],Table3[[Date]:[Sunset Time (POA&lt;20 W/m2)]],3,0),"")</f>
        <v>0.25624999999999998</v>
      </c>
      <c r="J94" s="75">
        <f>IFERROR(VLOOKUP(Table1[[#This Row],[Date]],Table3[[Date]:[Sunset Time (POA&lt;20 W/m2)]],4,0),"")</f>
        <v>0.77083333333333337</v>
      </c>
      <c r="K94" s="76">
        <f>IFERROR((Table1[[#This Row],[Sunset Time (POA&lt;20 W/m2)]]-Table1[[#This Row],[Sunrise Time (POA&gt;20 W/m2)]])*24,"")</f>
        <v>12.350000000000001</v>
      </c>
      <c r="L94" s="107" t="s">
        <v>231</v>
      </c>
      <c r="M94" s="61">
        <f>VLOOKUP(Table1[[#This Row],[Affceted Equipment]],'Basic Data'!$A$2:$C$818,2,0)</f>
        <v>669.6</v>
      </c>
      <c r="N94" s="92">
        <f>IFERROR(VLOOKUP(Table1[[#This Row],[Affceted Equipment]],'Basic Data'!$A$2:$C$818,3,0),"")</f>
        <v>8.348190352703562E-2</v>
      </c>
      <c r="O94" s="115" t="s">
        <v>323</v>
      </c>
      <c r="P94" s="93" t="s">
        <v>1088</v>
      </c>
      <c r="Q94" s="93"/>
      <c r="R94" s="93" t="s">
        <v>1088</v>
      </c>
      <c r="S94" s="91">
        <v>0.60624999999999996</v>
      </c>
      <c r="T94" s="116"/>
      <c r="U94" s="116"/>
      <c r="V94" s="91">
        <v>0.68125000000000002</v>
      </c>
      <c r="W94" s="88">
        <f>IF(Table1[[#This Row],[Acknowledgemnet Time ]]="NA","",(Table1[[#This Row],[Acknowledgemnet Time ]]-Table1[[#This Row],[Fault Time]])*24)</f>
        <v>-14.549999999999999</v>
      </c>
      <c r="X94" s="88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89">
        <f>IFERROR(Table1[[#This Row],[Breakdown Time]]*Table1[[#This Row],[Plant Equivalent Weightage]],"")</f>
        <v>0.15026742634866425</v>
      </c>
      <c r="AD94" s="2">
        <v>1.02</v>
      </c>
      <c r="AE94" s="88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4">
        <f>YEAR(Table1[[#This Row],[Date]])+IF(MONTH(Table1[[#This Row],[Date]])&gt;=4,1,0)</f>
        <v>2026</v>
      </c>
      <c r="C95" s="73">
        <f>YEAR(Table1[[#This Row],[Date]])</f>
        <v>2025</v>
      </c>
      <c r="D95" s="73" t="s">
        <v>1082</v>
      </c>
      <c r="E95" s="73" t="s">
        <v>1082</v>
      </c>
      <c r="F95" s="170">
        <f>Table1[[#This Row],[Date]]-DAY(Table1[[#This Row],[Date]])+1</f>
        <v>45748</v>
      </c>
      <c r="G95">
        <f>DAY(EOMONTH(Table1[[#This Row],[Month Year]],0))</f>
        <v>30</v>
      </c>
      <c r="H95" s="103">
        <v>45751</v>
      </c>
      <c r="I95" s="75">
        <f>IFERROR(VLOOKUP(Table1[[#This Row],[Date]],Table3[[Date]:[Sunset Time (POA&lt;20 W/m2)]],3,0),"")</f>
        <v>0.25624999999999998</v>
      </c>
      <c r="J95" s="75">
        <f>IFERROR(VLOOKUP(Table1[[#This Row],[Date]],Table3[[Date]:[Sunset Time (POA&lt;20 W/m2)]],4,0),"")</f>
        <v>0.77083333333333337</v>
      </c>
      <c r="K95" s="76">
        <f>IFERROR((Table1[[#This Row],[Sunset Time (POA&lt;20 W/m2)]]-Table1[[#This Row],[Sunrise Time (POA&gt;20 W/m2)]])*24,"")</f>
        <v>12.350000000000001</v>
      </c>
      <c r="L95" s="107" t="s">
        <v>232</v>
      </c>
      <c r="M95" s="90">
        <f>VLOOKUP(Table1[[#This Row],[Affceted Equipment]],'Basic Data'!$A$2:$C$818,2,0)</f>
        <v>669.6</v>
      </c>
      <c r="N95" s="92">
        <f>IFERROR(VLOOKUP(Table1[[#This Row],[Affceted Equipment]],'Basic Data'!$A$2:$C$818,3,0),"")</f>
        <v>8.348190352703562E-2</v>
      </c>
      <c r="O95" s="115" t="s">
        <v>323</v>
      </c>
      <c r="P95" s="93" t="s">
        <v>1090</v>
      </c>
      <c r="Q95" s="93"/>
      <c r="R95" s="93" t="s">
        <v>1090</v>
      </c>
      <c r="S95" s="91">
        <v>0.60624999999999996</v>
      </c>
      <c r="T95" s="116"/>
      <c r="U95" s="116"/>
      <c r="V95" s="91">
        <v>0.68125000000000002</v>
      </c>
      <c r="W95" s="88">
        <f>IF(Table1[[#This Row],[Acknowledgemnet Time ]]="NA","",(Table1[[#This Row],[Acknowledgemnet Time ]]-Table1[[#This Row],[Fault Time]])*24)</f>
        <v>-14.549999999999999</v>
      </c>
      <c r="X95" s="88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89">
        <f>IFERROR(Table1[[#This Row],[Breakdown Time]]*Table1[[#This Row],[Plant Equivalent Weightage]],"")</f>
        <v>0.15026742634866425</v>
      </c>
      <c r="AD95" s="2">
        <v>1.02</v>
      </c>
      <c r="AE95" s="88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4">
        <f>YEAR(Table1[[#This Row],[Date]])+IF(MONTH(Table1[[#This Row],[Date]])&gt;=4,1,0)</f>
        <v>2026</v>
      </c>
      <c r="C96" s="73">
        <f>YEAR(Table1[[#This Row],[Date]])</f>
        <v>2025</v>
      </c>
      <c r="D96" s="73" t="s">
        <v>1082</v>
      </c>
      <c r="E96" s="73" t="s">
        <v>1082</v>
      </c>
      <c r="F96" s="170">
        <f>Table1[[#This Row],[Date]]-DAY(Table1[[#This Row],[Date]])+1</f>
        <v>45748</v>
      </c>
      <c r="G96">
        <f>DAY(EOMONTH(Table1[[#This Row],[Month Year]],0))</f>
        <v>30</v>
      </c>
      <c r="H96" s="103">
        <v>45751</v>
      </c>
      <c r="I96" s="75">
        <f>IFERROR(VLOOKUP(Table1[[#This Row],[Date]],Table3[[Date]:[Sunset Time (POA&lt;20 W/m2)]],3,0),"")</f>
        <v>0.25624999999999998</v>
      </c>
      <c r="J96" s="75">
        <f>IFERROR(VLOOKUP(Table1[[#This Row],[Date]],Table3[[Date]:[Sunset Time (POA&lt;20 W/m2)]],4,0),"")</f>
        <v>0.77083333333333337</v>
      </c>
      <c r="K96" s="76">
        <f>IFERROR((Table1[[#This Row],[Sunset Time (POA&lt;20 W/m2)]]-Table1[[#This Row],[Sunrise Time (POA&gt;20 W/m2)]])*24,"")</f>
        <v>12.350000000000001</v>
      </c>
      <c r="L96" s="107" t="s">
        <v>180</v>
      </c>
      <c r="M96" s="90">
        <f>VLOOKUP(Table1[[#This Row],[Affceted Equipment]],'Basic Data'!$A$2:$C$818,2,0)</f>
        <v>2694.6</v>
      </c>
      <c r="N96" s="92">
        <f>IFERROR(VLOOKUP(Table1[[#This Row],[Affceted Equipment]],'Basic Data'!$A$2:$C$818,3,0),"")</f>
        <v>0.33594733758057077</v>
      </c>
      <c r="O96" s="115" t="s">
        <v>323</v>
      </c>
      <c r="P96" s="93" t="s">
        <v>1091</v>
      </c>
      <c r="Q96" s="93"/>
      <c r="R96" s="93" t="s">
        <v>1091</v>
      </c>
      <c r="S96" s="91">
        <v>0.68125000000000002</v>
      </c>
      <c r="T96" s="116"/>
      <c r="U96" s="116"/>
      <c r="V96" s="91">
        <v>0.68263888888888891</v>
      </c>
      <c r="W96" s="88">
        <f>IF(Table1[[#This Row],[Acknowledgemnet Time ]]="NA","",(Table1[[#This Row],[Acknowledgemnet Time ]]-Table1[[#This Row],[Fault Time]])*24)</f>
        <v>-16.350000000000001</v>
      </c>
      <c r="X96" s="88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89">
        <f>IFERROR(Table1[[#This Row],[Breakdown Time]]*Table1[[#This Row],[Plant Equivalent Weightage]],"")</f>
        <v>1.1198244586018986E-2</v>
      </c>
      <c r="AD96" s="2">
        <v>0.02</v>
      </c>
      <c r="AE96" s="88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4">
        <f>YEAR(Table1[[#This Row],[Date]])+IF(MONTH(Table1[[#This Row],[Date]])&gt;=4,1,0)</f>
        <v>2026</v>
      </c>
      <c r="C97" s="73">
        <f>YEAR(Table1[[#This Row],[Date]])</f>
        <v>2025</v>
      </c>
      <c r="D97" s="73" t="s">
        <v>1082</v>
      </c>
      <c r="E97" s="73" t="s">
        <v>1082</v>
      </c>
      <c r="F97" s="170">
        <f>Table1[[#This Row],[Date]]-DAY(Table1[[#This Row],[Date]])+1</f>
        <v>45748</v>
      </c>
      <c r="G97">
        <f>DAY(EOMONTH(Table1[[#This Row],[Month Year]],0))</f>
        <v>30</v>
      </c>
      <c r="H97" s="103">
        <v>45751</v>
      </c>
      <c r="I97" s="75">
        <f>IFERROR(VLOOKUP(Table1[[#This Row],[Date]],Table3[[Date]:[Sunset Time (POA&lt;20 W/m2)]],3,0),"")</f>
        <v>0.25624999999999998</v>
      </c>
      <c r="J97" s="75">
        <f>IFERROR(VLOOKUP(Table1[[#This Row],[Date]],Table3[[Date]:[Sunset Time (POA&lt;20 W/m2)]],4,0),"")</f>
        <v>0.77083333333333337</v>
      </c>
      <c r="K97" s="76">
        <f>IFERROR((Table1[[#This Row],[Sunset Time (POA&lt;20 W/m2)]]-Table1[[#This Row],[Sunrise Time (POA&gt;20 W/m2)]])*24,"")</f>
        <v>12.350000000000001</v>
      </c>
      <c r="L97" s="107" t="s">
        <v>231</v>
      </c>
      <c r="M97" s="90">
        <f>VLOOKUP(Table1[[#This Row],[Affceted Equipment]],'Basic Data'!$A$2:$C$818,2,0)</f>
        <v>669.6</v>
      </c>
      <c r="N97" s="92">
        <f>IFERROR(VLOOKUP(Table1[[#This Row],[Affceted Equipment]],'Basic Data'!$A$2:$C$818,3,0),"")</f>
        <v>8.348190352703562E-2</v>
      </c>
      <c r="O97" s="115" t="s">
        <v>323</v>
      </c>
      <c r="P97" s="93" t="s">
        <v>1088</v>
      </c>
      <c r="Q97" s="93"/>
      <c r="R97" s="93" t="s">
        <v>1088</v>
      </c>
      <c r="S97" s="91">
        <v>0.68263888888888891</v>
      </c>
      <c r="T97" s="116"/>
      <c r="U97" s="116"/>
      <c r="V97" s="91">
        <v>0.77083333333333337</v>
      </c>
      <c r="W97" s="88">
        <f>IF(Table1[[#This Row],[Acknowledgemnet Time ]]="NA","",(Table1[[#This Row],[Acknowledgemnet Time ]]-Table1[[#This Row],[Fault Time]])*24)</f>
        <v>-16.383333333333333</v>
      </c>
      <c r="X97" s="88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89">
        <f>IFERROR(Table1[[#This Row],[Breakdown Time]]*Table1[[#This Row],[Plant Equivalent Weightage]],"")</f>
        <v>0.17670336246555876</v>
      </c>
      <c r="AD97" s="2">
        <v>0.45</v>
      </c>
      <c r="AE97" s="88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4">
        <f>YEAR(Table1[[#This Row],[Date]])+IF(MONTH(Table1[[#This Row],[Date]])&gt;=4,1,0)</f>
        <v>2026</v>
      </c>
      <c r="C98" s="73">
        <f>YEAR(Table1[[#This Row],[Date]])</f>
        <v>2025</v>
      </c>
      <c r="D98" s="73" t="s">
        <v>1082</v>
      </c>
      <c r="E98" s="73" t="s">
        <v>1082</v>
      </c>
      <c r="F98" s="170">
        <f>Table1[[#This Row],[Date]]-DAY(Table1[[#This Row],[Date]])+1</f>
        <v>45748</v>
      </c>
      <c r="G98">
        <f>DAY(EOMONTH(Table1[[#This Row],[Month Year]],0))</f>
        <v>30</v>
      </c>
      <c r="H98" s="103">
        <v>45752</v>
      </c>
      <c r="I98" s="75">
        <f>IFERROR(VLOOKUP(Table1[[#This Row],[Date]],Table3[[Date]:[Sunset Time (POA&lt;20 W/m2)]],3,0),"")</f>
        <v>0.25833333333333336</v>
      </c>
      <c r="J98" s="75">
        <f>IFERROR(VLOOKUP(Table1[[#This Row],[Date]],Table3[[Date]:[Sunset Time (POA&lt;20 W/m2)]],4,0),"")</f>
        <v>0.76875000000000004</v>
      </c>
      <c r="K98" s="76">
        <f>IFERROR((Table1[[#This Row],[Sunset Time (POA&lt;20 W/m2)]]-Table1[[#This Row],[Sunrise Time (POA&gt;20 W/m2)]])*24,"")</f>
        <v>12.250000000000002</v>
      </c>
      <c r="L98" s="107" t="s">
        <v>231</v>
      </c>
      <c r="M98" s="61">
        <f>VLOOKUP(Table1[[#This Row],[Affceted Equipment]],'Basic Data'!$A$2:$C$818,2,0)</f>
        <v>669.6</v>
      </c>
      <c r="N98" s="92">
        <f>IFERROR(VLOOKUP(Table1[[#This Row],[Affceted Equipment]],'Basic Data'!$A$2:$C$818,3,0),"")</f>
        <v>8.348190352703562E-2</v>
      </c>
      <c r="O98" s="115" t="s">
        <v>323</v>
      </c>
      <c r="P98" s="93" t="s">
        <v>1088</v>
      </c>
      <c r="Q98" s="93"/>
      <c r="R98" s="93" t="s">
        <v>1088</v>
      </c>
      <c r="S98" s="91">
        <v>0.25833333333333336</v>
      </c>
      <c r="T98" s="116"/>
      <c r="U98" s="116"/>
      <c r="V98" s="91">
        <v>0.40208333333333335</v>
      </c>
      <c r="W98" s="88">
        <f>IF(Table1[[#This Row],[Acknowledgemnet Time ]]="NA","",(Table1[[#This Row],[Acknowledgemnet Time ]]-Table1[[#This Row],[Fault Time]])*24)</f>
        <v>-6.2000000000000011</v>
      </c>
      <c r="X98" s="88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89">
        <f>IFERROR(Table1[[#This Row],[Breakdown Time]]*Table1[[#This Row],[Plant Equivalent Weightage]],"")</f>
        <v>0.28801256716827289</v>
      </c>
      <c r="AD98" s="2">
        <v>0.97</v>
      </c>
      <c r="AE98" s="88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4">
        <f>YEAR(Table1[[#This Row],[Date]])+IF(MONTH(Table1[[#This Row],[Date]])&gt;=4,1,0)</f>
        <v>2026</v>
      </c>
      <c r="C99" s="73">
        <f>YEAR(Table1[[#This Row],[Date]])</f>
        <v>2025</v>
      </c>
      <c r="D99" s="73" t="s">
        <v>1082</v>
      </c>
      <c r="E99" s="73" t="s">
        <v>1082</v>
      </c>
      <c r="F99" s="170">
        <f>Table1[[#This Row],[Date]]-DAY(Table1[[#This Row],[Date]])+1</f>
        <v>45748</v>
      </c>
      <c r="G99">
        <f>DAY(EOMONTH(Table1[[#This Row],[Month Year]],0))</f>
        <v>30</v>
      </c>
      <c r="H99" s="103">
        <v>45752</v>
      </c>
      <c r="I99" s="75">
        <f>IFERROR(VLOOKUP(Table1[[#This Row],[Date]],Table3[[Date]:[Sunset Time (POA&lt;20 W/m2)]],3,0),"")</f>
        <v>0.25833333333333336</v>
      </c>
      <c r="J99" s="75">
        <f>IFERROR(VLOOKUP(Table1[[#This Row],[Date]],Table3[[Date]:[Sunset Time (POA&lt;20 W/m2)]],4,0),"")</f>
        <v>0.76875000000000004</v>
      </c>
      <c r="K99" s="76">
        <f>IFERROR((Table1[[#This Row],[Sunset Time (POA&lt;20 W/m2)]]-Table1[[#This Row],[Sunrise Time (POA&gt;20 W/m2)]])*24,"")</f>
        <v>12.250000000000002</v>
      </c>
      <c r="L99" s="107" t="s">
        <v>238</v>
      </c>
      <c r="M99" s="61">
        <f>VLOOKUP(Table1[[#This Row],[Affceted Equipment]],'Basic Data'!$A$2:$C$818,2,0)</f>
        <v>658.8</v>
      </c>
      <c r="N99" s="92">
        <f>IFERROR(VLOOKUP(Table1[[#This Row],[Affceted Equipment]],'Basic Data'!$A$2:$C$818,3,0),"")</f>
        <v>8.2135421212083434E-2</v>
      </c>
      <c r="O99" s="115" t="s">
        <v>303</v>
      </c>
      <c r="P99" s="93" t="s">
        <v>1087</v>
      </c>
      <c r="Q99" s="93"/>
      <c r="R99" s="93" t="s">
        <v>1087</v>
      </c>
      <c r="S99" s="91">
        <v>0.25833333333333336</v>
      </c>
      <c r="T99" s="116"/>
      <c r="U99" s="116"/>
      <c r="V99" s="91">
        <v>0.55069444444444449</v>
      </c>
      <c r="W99" s="88">
        <f>IF(Table1[[#This Row],[Acknowledgemnet Time ]]="NA","",(Table1[[#This Row],[Acknowledgemnet Time ]]-Table1[[#This Row],[Fault Time]])*24)</f>
        <v>-6.2000000000000011</v>
      </c>
      <c r="X99" s="88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89">
        <f>IFERROR(Table1[[#This Row],[Breakdown Time]]*Table1[[#This Row],[Plant Equivalent Weightage]],"")</f>
        <v>0.57631687217145211</v>
      </c>
      <c r="AD99" s="2">
        <v>4.13</v>
      </c>
      <c r="AE99" s="88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4">
        <f>YEAR(Table1[[#This Row],[Date]])+IF(MONTH(Table1[[#This Row],[Date]])&gt;=4,1,0)</f>
        <v>2026</v>
      </c>
      <c r="C100" s="73">
        <f>YEAR(Table1[[#This Row],[Date]])</f>
        <v>2025</v>
      </c>
      <c r="D100" s="73" t="s">
        <v>1082</v>
      </c>
      <c r="E100" s="73" t="s">
        <v>1082</v>
      </c>
      <c r="F100" s="170">
        <f>Table1[[#This Row],[Date]]-DAY(Table1[[#This Row],[Date]])+1</f>
        <v>45748</v>
      </c>
      <c r="G100">
        <f>DAY(EOMONTH(Table1[[#This Row],[Month Year]],0))</f>
        <v>30</v>
      </c>
      <c r="H100" s="103">
        <v>45752</v>
      </c>
      <c r="I100" s="75">
        <f>IFERROR(VLOOKUP(Table1[[#This Row],[Date]],Table3[[Date]:[Sunset Time (POA&lt;20 W/m2)]],3,0),"")</f>
        <v>0.25833333333333336</v>
      </c>
      <c r="J100" s="75">
        <f>IFERROR(VLOOKUP(Table1[[#This Row],[Date]],Table3[[Date]:[Sunset Time (POA&lt;20 W/m2)]],4,0),"")</f>
        <v>0.76875000000000004</v>
      </c>
      <c r="K100" s="76">
        <f>IFERROR((Table1[[#This Row],[Sunset Time (POA&lt;20 W/m2)]]-Table1[[#This Row],[Sunrise Time (POA&gt;20 W/m2)]])*24,"")</f>
        <v>12.250000000000002</v>
      </c>
      <c r="L100" s="107" t="s">
        <v>180</v>
      </c>
      <c r="M100" s="61">
        <f>VLOOKUP(Table1[[#This Row],[Affceted Equipment]],'Basic Data'!$A$2:$C$818,2,0)</f>
        <v>2694.6</v>
      </c>
      <c r="N100" s="92">
        <f>IFERROR(VLOOKUP(Table1[[#This Row],[Affceted Equipment]],'Basic Data'!$A$2:$C$818,3,0),"")</f>
        <v>0.33594733758057077</v>
      </c>
      <c r="O100" s="115" t="s">
        <v>323</v>
      </c>
      <c r="P100" s="93" t="s">
        <v>1089</v>
      </c>
      <c r="Q100" s="93"/>
      <c r="R100" s="93" t="s">
        <v>1089</v>
      </c>
      <c r="S100" s="91">
        <v>0.40208333333333335</v>
      </c>
      <c r="T100" s="116"/>
      <c r="U100" s="116"/>
      <c r="V100" s="91">
        <v>0.40763888888888888</v>
      </c>
      <c r="W100" s="88">
        <f>IF(Table1[[#This Row],[Acknowledgemnet Time ]]="NA","",(Table1[[#This Row],[Acknowledgemnet Time ]]-Table1[[#This Row],[Fault Time]])*24)</f>
        <v>-9.65</v>
      </c>
      <c r="X100" s="88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89">
        <f>IFERROR(Table1[[#This Row],[Breakdown Time]]*Table1[[#This Row],[Plant Equivalent Weightage]],"")</f>
        <v>4.4792978344075945E-2</v>
      </c>
      <c r="AD100" s="2">
        <v>0.1</v>
      </c>
      <c r="AE100" s="88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4">
        <f>YEAR(Table1[[#This Row],[Date]])+IF(MONTH(Table1[[#This Row],[Date]])&gt;=4,1,0)</f>
        <v>2026</v>
      </c>
      <c r="C101" s="73">
        <f>YEAR(Table1[[#This Row],[Date]])</f>
        <v>2025</v>
      </c>
      <c r="D101" s="73" t="s">
        <v>1082</v>
      </c>
      <c r="E101" s="73" t="s">
        <v>1082</v>
      </c>
      <c r="F101" s="170">
        <f>Table1[[#This Row],[Date]]-DAY(Table1[[#This Row],[Date]])+1</f>
        <v>45748</v>
      </c>
      <c r="G101">
        <f>DAY(EOMONTH(Table1[[#This Row],[Month Year]],0))</f>
        <v>30</v>
      </c>
      <c r="H101" s="103">
        <v>45752</v>
      </c>
      <c r="I101" s="75">
        <f>IFERROR(VLOOKUP(Table1[[#This Row],[Date]],Table3[[Date]:[Sunset Time (POA&lt;20 W/m2)]],3,0),"")</f>
        <v>0.25833333333333336</v>
      </c>
      <c r="J101" s="75">
        <f>IFERROR(VLOOKUP(Table1[[#This Row],[Date]],Table3[[Date]:[Sunset Time (POA&lt;20 W/m2)]],4,0),"")</f>
        <v>0.76875000000000004</v>
      </c>
      <c r="K101" s="76">
        <f>IFERROR((Table1[[#This Row],[Sunset Time (POA&lt;20 W/m2)]]-Table1[[#This Row],[Sunrise Time (POA&gt;20 W/m2)]])*24,"")</f>
        <v>12.250000000000002</v>
      </c>
      <c r="L101" s="107" t="s">
        <v>231</v>
      </c>
      <c r="M101" s="61">
        <f>VLOOKUP(Table1[[#This Row],[Affceted Equipment]],'Basic Data'!$A$2:$C$818,2,0)</f>
        <v>669.6</v>
      </c>
      <c r="N101" s="92">
        <f>IFERROR(VLOOKUP(Table1[[#This Row],[Affceted Equipment]],'Basic Data'!$A$2:$C$818,3,0),"")</f>
        <v>8.348190352703562E-2</v>
      </c>
      <c r="O101" s="115" t="s">
        <v>323</v>
      </c>
      <c r="P101" s="93" t="s">
        <v>1088</v>
      </c>
      <c r="Q101" s="93"/>
      <c r="R101" s="93" t="s">
        <v>1088</v>
      </c>
      <c r="S101" s="91">
        <v>0.40763888888888888</v>
      </c>
      <c r="T101" s="116"/>
      <c r="U101" s="116"/>
      <c r="V101" s="91">
        <v>0.41249999999999998</v>
      </c>
      <c r="W101" s="88">
        <f>IF(Table1[[#This Row],[Acknowledgemnet Time ]]="NA","",(Table1[[#This Row],[Acknowledgemnet Time ]]-Table1[[#This Row],[Fault Time]])*24)</f>
        <v>-9.7833333333333332</v>
      </c>
      <c r="X101" s="88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89">
        <f>IFERROR(Table1[[#This Row],[Breakdown Time]]*Table1[[#This Row],[Plant Equivalent Weightage]],"")</f>
        <v>9.7395554114874539E-3</v>
      </c>
      <c r="AD101" s="2">
        <v>0.09</v>
      </c>
      <c r="AE101" s="88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4">
        <f>YEAR(Table1[[#This Row],[Date]])+IF(MONTH(Table1[[#This Row],[Date]])&gt;=4,1,0)</f>
        <v>2026</v>
      </c>
      <c r="C102" s="73">
        <f>YEAR(Table1[[#This Row],[Date]])</f>
        <v>2025</v>
      </c>
      <c r="D102" s="73" t="s">
        <v>1082</v>
      </c>
      <c r="E102" s="73" t="s">
        <v>1082</v>
      </c>
      <c r="F102" s="170">
        <f>Table1[[#This Row],[Date]]-DAY(Table1[[#This Row],[Date]])+1</f>
        <v>45748</v>
      </c>
      <c r="G102">
        <f>DAY(EOMONTH(Table1[[#This Row],[Month Year]],0))</f>
        <v>30</v>
      </c>
      <c r="H102" s="103">
        <v>45752</v>
      </c>
      <c r="I102" s="75">
        <f>IFERROR(VLOOKUP(Table1[[#This Row],[Date]],Table3[[Date]:[Sunset Time (POA&lt;20 W/m2)]],3,0),"")</f>
        <v>0.25833333333333336</v>
      </c>
      <c r="J102" s="75">
        <f>IFERROR(VLOOKUP(Table1[[#This Row],[Date]],Table3[[Date]:[Sunset Time (POA&lt;20 W/m2)]],4,0),"")</f>
        <v>0.76875000000000004</v>
      </c>
      <c r="K102" s="76">
        <f>IFERROR((Table1[[#This Row],[Sunset Time (POA&lt;20 W/m2)]]-Table1[[#This Row],[Sunrise Time (POA&gt;20 W/m2)]])*24,"")</f>
        <v>12.250000000000002</v>
      </c>
      <c r="L102" s="107" t="s">
        <v>180</v>
      </c>
      <c r="M102" s="61">
        <f>VLOOKUP(Table1[[#This Row],[Affceted Equipment]],'Basic Data'!$A$2:$C$818,2,0)</f>
        <v>2694.6</v>
      </c>
      <c r="N102" s="92">
        <f>IFERROR(VLOOKUP(Table1[[#This Row],[Affceted Equipment]],'Basic Data'!$A$2:$C$818,3,0),"")</f>
        <v>0.33594733758057077</v>
      </c>
      <c r="O102" s="115" t="s">
        <v>323</v>
      </c>
      <c r="P102" s="93" t="s">
        <v>1089</v>
      </c>
      <c r="Q102" s="93"/>
      <c r="R102" s="93" t="s">
        <v>1089</v>
      </c>
      <c r="S102" s="91">
        <v>0.41249999999999998</v>
      </c>
      <c r="T102" s="116"/>
      <c r="U102" s="116"/>
      <c r="V102" s="91">
        <v>0.41805555555555557</v>
      </c>
      <c r="W102" s="88">
        <f>IF(Table1[[#This Row],[Acknowledgemnet Time ]]="NA","",(Table1[[#This Row],[Acknowledgemnet Time ]]-Table1[[#This Row],[Fault Time]])*24)</f>
        <v>-9.8999999999999986</v>
      </c>
      <c r="X102" s="88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89">
        <f>IFERROR(Table1[[#This Row],[Breakdown Time]]*Table1[[#This Row],[Plant Equivalent Weightage]],"")</f>
        <v>4.479297834407639E-2</v>
      </c>
      <c r="AD102" s="2">
        <v>0.1</v>
      </c>
      <c r="AE102" s="88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4">
        <f>YEAR(Table1[[#This Row],[Date]])+IF(MONTH(Table1[[#This Row],[Date]])&gt;=4,1,0)</f>
        <v>2026</v>
      </c>
      <c r="C103" s="73">
        <f>YEAR(Table1[[#This Row],[Date]])</f>
        <v>2025</v>
      </c>
      <c r="D103" s="73" t="s">
        <v>1082</v>
      </c>
      <c r="E103" s="73" t="s">
        <v>1082</v>
      </c>
      <c r="F103" s="170">
        <f>Table1[[#This Row],[Date]]-DAY(Table1[[#This Row],[Date]])+1</f>
        <v>45748</v>
      </c>
      <c r="G103">
        <f>DAY(EOMONTH(Table1[[#This Row],[Month Year]],0))</f>
        <v>30</v>
      </c>
      <c r="H103" s="103">
        <v>45752</v>
      </c>
      <c r="I103" s="75">
        <f>IFERROR(VLOOKUP(Table1[[#This Row],[Date]],Table3[[Date]:[Sunset Time (POA&lt;20 W/m2)]],3,0),"")</f>
        <v>0.25833333333333336</v>
      </c>
      <c r="J103" s="75">
        <f>IFERROR(VLOOKUP(Table1[[#This Row],[Date]],Table3[[Date]:[Sunset Time (POA&lt;20 W/m2)]],4,0),"")</f>
        <v>0.76875000000000004</v>
      </c>
      <c r="K103" s="76">
        <f>IFERROR((Table1[[#This Row],[Sunset Time (POA&lt;20 W/m2)]]-Table1[[#This Row],[Sunrise Time (POA&gt;20 W/m2)]])*24,"")</f>
        <v>12.250000000000002</v>
      </c>
      <c r="L103" s="107" t="s">
        <v>231</v>
      </c>
      <c r="M103" s="61">
        <f>VLOOKUP(Table1[[#This Row],[Affceted Equipment]],'Basic Data'!$A$2:$C$818,2,0)</f>
        <v>669.6</v>
      </c>
      <c r="N103" s="92">
        <f>IFERROR(VLOOKUP(Table1[[#This Row],[Affceted Equipment]],'Basic Data'!$A$2:$C$818,3,0),"")</f>
        <v>8.348190352703562E-2</v>
      </c>
      <c r="O103" s="115" t="s">
        <v>323</v>
      </c>
      <c r="P103" s="93" t="s">
        <v>1088</v>
      </c>
      <c r="Q103" s="93"/>
      <c r="R103" s="93" t="s">
        <v>1088</v>
      </c>
      <c r="S103" s="91">
        <v>0.41805555555555557</v>
      </c>
      <c r="T103" s="116"/>
      <c r="U103" s="116"/>
      <c r="V103" s="91">
        <v>0.42291666666666666</v>
      </c>
      <c r="W103" s="88">
        <f>IF(Table1[[#This Row],[Acknowledgemnet Time ]]="NA","",(Table1[[#This Row],[Acknowledgemnet Time ]]-Table1[[#This Row],[Fault Time]])*24)</f>
        <v>-10.033333333333333</v>
      </c>
      <c r="X103" s="88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89">
        <f>IFERROR(Table1[[#This Row],[Breakdown Time]]*Table1[[#This Row],[Plant Equivalent Weightage]],"")</f>
        <v>9.7395554114874539E-3</v>
      </c>
      <c r="AD103" s="2">
        <v>0.09</v>
      </c>
      <c r="AE103" s="88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4">
        <f>YEAR(Table1[[#This Row],[Date]])+IF(MONTH(Table1[[#This Row],[Date]])&gt;=4,1,0)</f>
        <v>2026</v>
      </c>
      <c r="C104" s="73">
        <f>YEAR(Table1[[#This Row],[Date]])</f>
        <v>2025</v>
      </c>
      <c r="D104" s="73" t="s">
        <v>1082</v>
      </c>
      <c r="E104" s="73" t="s">
        <v>1082</v>
      </c>
      <c r="F104" s="170">
        <f>Table1[[#This Row],[Date]]-DAY(Table1[[#This Row],[Date]])+1</f>
        <v>45748</v>
      </c>
      <c r="G104">
        <f>DAY(EOMONTH(Table1[[#This Row],[Month Year]],0))</f>
        <v>30</v>
      </c>
      <c r="H104" s="103">
        <v>45752</v>
      </c>
      <c r="I104" s="75">
        <f>IFERROR(VLOOKUP(Table1[[#This Row],[Date]],Table3[[Date]:[Sunset Time (POA&lt;20 W/m2)]],3,0),"")</f>
        <v>0.25833333333333336</v>
      </c>
      <c r="J104" s="75">
        <f>IFERROR(VLOOKUP(Table1[[#This Row],[Date]],Table3[[Date]:[Sunset Time (POA&lt;20 W/m2)]],4,0),"")</f>
        <v>0.76875000000000004</v>
      </c>
      <c r="K104" s="76">
        <f>IFERROR((Table1[[#This Row],[Sunset Time (POA&lt;20 W/m2)]]-Table1[[#This Row],[Sunrise Time (POA&gt;20 W/m2)]])*24,"")</f>
        <v>12.250000000000002</v>
      </c>
      <c r="L104" s="107" t="s">
        <v>180</v>
      </c>
      <c r="M104" s="61">
        <f>VLOOKUP(Table1[[#This Row],[Affceted Equipment]],'Basic Data'!$A$2:$C$818,2,0)</f>
        <v>2694.6</v>
      </c>
      <c r="N104" s="92">
        <f>IFERROR(VLOOKUP(Table1[[#This Row],[Affceted Equipment]],'Basic Data'!$A$2:$C$818,3,0),"")</f>
        <v>0.33594733758057077</v>
      </c>
      <c r="O104" s="115" t="s">
        <v>323</v>
      </c>
      <c r="P104" s="93" t="s">
        <v>1089</v>
      </c>
      <c r="Q104" s="93"/>
      <c r="R104" s="93" t="s">
        <v>1089</v>
      </c>
      <c r="S104" s="91">
        <v>0.42291666666666666</v>
      </c>
      <c r="T104" s="116"/>
      <c r="U104" s="116"/>
      <c r="V104" s="91">
        <v>0.42916666666666664</v>
      </c>
      <c r="W104" s="88">
        <f>IF(Table1[[#This Row],[Acknowledgemnet Time ]]="NA","",(Table1[[#This Row],[Acknowledgemnet Time ]]-Table1[[#This Row],[Fault Time]])*24)</f>
        <v>-10.15</v>
      </c>
      <c r="X104" s="88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89">
        <f>IFERROR(Table1[[#This Row],[Breakdown Time]]*Table1[[#This Row],[Plant Equivalent Weightage]],"")</f>
        <v>5.0392100637085435E-2</v>
      </c>
      <c r="AD104" s="2">
        <v>0.12</v>
      </c>
      <c r="AE104" s="88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4">
        <f>YEAR(Table1[[#This Row],[Date]])+IF(MONTH(Table1[[#This Row],[Date]])&gt;=4,1,0)</f>
        <v>2026</v>
      </c>
      <c r="C105" s="73">
        <f>YEAR(Table1[[#This Row],[Date]])</f>
        <v>2025</v>
      </c>
      <c r="D105" s="73" t="s">
        <v>1082</v>
      </c>
      <c r="E105" s="73" t="s">
        <v>1082</v>
      </c>
      <c r="F105" s="170">
        <f>Table1[[#This Row],[Date]]-DAY(Table1[[#This Row],[Date]])+1</f>
        <v>45748</v>
      </c>
      <c r="G105">
        <f>DAY(EOMONTH(Table1[[#This Row],[Month Year]],0))</f>
        <v>30</v>
      </c>
      <c r="H105" s="103">
        <v>45752</v>
      </c>
      <c r="I105" s="75">
        <f>IFERROR(VLOOKUP(Table1[[#This Row],[Date]],Table3[[Date]:[Sunset Time (POA&lt;20 W/m2)]],3,0),"")</f>
        <v>0.25833333333333336</v>
      </c>
      <c r="J105" s="75">
        <f>IFERROR(VLOOKUP(Table1[[#This Row],[Date]],Table3[[Date]:[Sunset Time (POA&lt;20 W/m2)]],4,0),"")</f>
        <v>0.76875000000000004</v>
      </c>
      <c r="K105" s="76">
        <f>IFERROR((Table1[[#This Row],[Sunset Time (POA&lt;20 W/m2)]]-Table1[[#This Row],[Sunrise Time (POA&gt;20 W/m2)]])*24,"")</f>
        <v>12.250000000000002</v>
      </c>
      <c r="L105" s="107" t="s">
        <v>231</v>
      </c>
      <c r="M105" s="61">
        <f>VLOOKUP(Table1[[#This Row],[Affceted Equipment]],'Basic Data'!$A$2:$C$818,2,0)</f>
        <v>669.6</v>
      </c>
      <c r="N105" s="92">
        <f>IFERROR(VLOOKUP(Table1[[#This Row],[Affceted Equipment]],'Basic Data'!$A$2:$C$818,3,0),"")</f>
        <v>8.348190352703562E-2</v>
      </c>
      <c r="O105" s="115" t="s">
        <v>323</v>
      </c>
      <c r="P105" s="93" t="s">
        <v>1088</v>
      </c>
      <c r="Q105" s="93"/>
      <c r="R105" s="93" t="s">
        <v>1088</v>
      </c>
      <c r="S105" s="91">
        <v>0.42916666666666664</v>
      </c>
      <c r="T105" s="116"/>
      <c r="U105" s="116"/>
      <c r="V105" s="91">
        <v>0.46250000000000002</v>
      </c>
      <c r="W105" s="88">
        <f>IF(Table1[[#This Row],[Acknowledgemnet Time ]]="NA","",(Table1[[#This Row],[Acknowledgemnet Time ]]-Table1[[#This Row],[Fault Time]])*24)</f>
        <v>-10.299999999999999</v>
      </c>
      <c r="X105" s="88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89">
        <f>IFERROR(Table1[[#This Row],[Breakdown Time]]*Table1[[#This Row],[Plant Equivalent Weightage]],"")</f>
        <v>6.6785522821628598E-2</v>
      </c>
      <c r="AD105" s="2">
        <v>0.68</v>
      </c>
      <c r="AE105" s="88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4">
        <f>YEAR(Table1[[#This Row],[Date]])+IF(MONTH(Table1[[#This Row],[Date]])&gt;=4,1,0)</f>
        <v>2026</v>
      </c>
      <c r="C106" s="73">
        <f>YEAR(Table1[[#This Row],[Date]])</f>
        <v>2025</v>
      </c>
      <c r="D106" s="73" t="s">
        <v>1082</v>
      </c>
      <c r="E106" s="73" t="s">
        <v>1082</v>
      </c>
      <c r="F106" s="170">
        <f>Table1[[#This Row],[Date]]-DAY(Table1[[#This Row],[Date]])+1</f>
        <v>45748</v>
      </c>
      <c r="G106">
        <f>DAY(EOMONTH(Table1[[#This Row],[Month Year]],0))</f>
        <v>30</v>
      </c>
      <c r="H106" s="103">
        <v>45752</v>
      </c>
      <c r="I106" s="75">
        <f>IFERROR(VLOOKUP(Table1[[#This Row],[Date]],Table3[[Date]:[Sunset Time (POA&lt;20 W/m2)]],3,0),"")</f>
        <v>0.25833333333333336</v>
      </c>
      <c r="J106" s="75">
        <f>IFERROR(VLOOKUP(Table1[[#This Row],[Date]],Table3[[Date]:[Sunset Time (POA&lt;20 W/m2)]],4,0),"")</f>
        <v>0.76875000000000004</v>
      </c>
      <c r="K106" s="76">
        <f>IFERROR((Table1[[#This Row],[Sunset Time (POA&lt;20 W/m2)]]-Table1[[#This Row],[Sunrise Time (POA&gt;20 W/m2)]])*24,"")</f>
        <v>12.250000000000002</v>
      </c>
      <c r="L106" s="107" t="s">
        <v>232</v>
      </c>
      <c r="M106" s="61">
        <f>VLOOKUP(Table1[[#This Row],[Affceted Equipment]],'Basic Data'!$A$2:$C$818,2,0)</f>
        <v>669.6</v>
      </c>
      <c r="N106" s="92">
        <f>IFERROR(VLOOKUP(Table1[[#This Row],[Affceted Equipment]],'Basic Data'!$A$2:$C$818,3,0),"")</f>
        <v>8.348190352703562E-2</v>
      </c>
      <c r="O106" s="115" t="s">
        <v>323</v>
      </c>
      <c r="P106" s="93" t="s">
        <v>1090</v>
      </c>
      <c r="Q106" s="93"/>
      <c r="R106" s="93" t="s">
        <v>1090</v>
      </c>
      <c r="S106" s="91">
        <v>0.42916666666666664</v>
      </c>
      <c r="T106" s="116"/>
      <c r="U106" s="116"/>
      <c r="V106" s="91">
        <v>0.46250000000000002</v>
      </c>
      <c r="W106" s="88">
        <f>IF(Table1[[#This Row],[Acknowledgemnet Time ]]="NA","",(Table1[[#This Row],[Acknowledgemnet Time ]]-Table1[[#This Row],[Fault Time]])*24)</f>
        <v>-10.299999999999999</v>
      </c>
      <c r="X106" s="88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89">
        <f>IFERROR(Table1[[#This Row],[Breakdown Time]]*Table1[[#This Row],[Plant Equivalent Weightage]],"")</f>
        <v>6.6785522821628598E-2</v>
      </c>
      <c r="AD106" s="2">
        <v>0.68</v>
      </c>
      <c r="AE106" s="88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4">
        <f>YEAR(Table1[[#This Row],[Date]])+IF(MONTH(Table1[[#This Row],[Date]])&gt;=4,1,0)</f>
        <v>2026</v>
      </c>
      <c r="C107" s="73">
        <f>YEAR(Table1[[#This Row],[Date]])</f>
        <v>2025</v>
      </c>
      <c r="D107" s="73" t="s">
        <v>1082</v>
      </c>
      <c r="E107" s="73" t="s">
        <v>1082</v>
      </c>
      <c r="F107" s="170">
        <f>Table1[[#This Row],[Date]]-DAY(Table1[[#This Row],[Date]])+1</f>
        <v>45748</v>
      </c>
      <c r="G107">
        <f>DAY(EOMONTH(Table1[[#This Row],[Month Year]],0))</f>
        <v>30</v>
      </c>
      <c r="H107" s="103">
        <v>45752</v>
      </c>
      <c r="I107" s="75">
        <f>IFERROR(VLOOKUP(Table1[[#This Row],[Date]],Table3[[Date]:[Sunset Time (POA&lt;20 W/m2)]],3,0),"")</f>
        <v>0.25833333333333336</v>
      </c>
      <c r="J107" s="75">
        <f>IFERROR(VLOOKUP(Table1[[#This Row],[Date]],Table3[[Date]:[Sunset Time (POA&lt;20 W/m2)]],4,0),"")</f>
        <v>0.76875000000000004</v>
      </c>
      <c r="K107" s="76">
        <f>IFERROR((Table1[[#This Row],[Sunset Time (POA&lt;20 W/m2)]]-Table1[[#This Row],[Sunrise Time (POA&gt;20 W/m2)]])*24,"")</f>
        <v>12.250000000000002</v>
      </c>
      <c r="L107" s="107" t="s">
        <v>180</v>
      </c>
      <c r="M107" s="61">
        <f>VLOOKUP(Table1[[#This Row],[Affceted Equipment]],'Basic Data'!$A$2:$C$818,2,0)</f>
        <v>2694.6</v>
      </c>
      <c r="N107" s="92">
        <f>IFERROR(VLOOKUP(Table1[[#This Row],[Affceted Equipment]],'Basic Data'!$A$2:$C$818,3,0),"")</f>
        <v>0.33594733758057077</v>
      </c>
      <c r="O107" s="115" t="s">
        <v>323</v>
      </c>
      <c r="P107" s="93" t="s">
        <v>1089</v>
      </c>
      <c r="Q107" s="93"/>
      <c r="R107" s="93" t="s">
        <v>1089</v>
      </c>
      <c r="S107" s="91">
        <v>0.46250000000000002</v>
      </c>
      <c r="T107" s="116"/>
      <c r="U107" s="116"/>
      <c r="V107" s="91">
        <v>0.46875</v>
      </c>
      <c r="W107" s="88">
        <f>IF(Table1[[#This Row],[Acknowledgemnet Time ]]="NA","",(Table1[[#This Row],[Acknowledgemnet Time ]]-Table1[[#This Row],[Fault Time]])*24)</f>
        <v>-11.100000000000001</v>
      </c>
      <c r="X107" s="88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89">
        <f>IFERROR(Table1[[#This Row],[Breakdown Time]]*Table1[[#This Row],[Plant Equivalent Weightage]],"")</f>
        <v>5.0392100637085435E-2</v>
      </c>
      <c r="AD107" s="2">
        <v>0.13</v>
      </c>
      <c r="AE107" s="88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4">
        <f>YEAR(Table1[[#This Row],[Date]])+IF(MONTH(Table1[[#This Row],[Date]])&gt;=4,1,0)</f>
        <v>2026</v>
      </c>
      <c r="C108" s="73">
        <f>YEAR(Table1[[#This Row],[Date]])</f>
        <v>2025</v>
      </c>
      <c r="D108" s="73" t="s">
        <v>1082</v>
      </c>
      <c r="E108" s="73" t="s">
        <v>1082</v>
      </c>
      <c r="F108" s="170">
        <f>Table1[[#This Row],[Date]]-DAY(Table1[[#This Row],[Date]])+1</f>
        <v>45748</v>
      </c>
      <c r="G108">
        <f>DAY(EOMONTH(Table1[[#This Row],[Month Year]],0))</f>
        <v>30</v>
      </c>
      <c r="H108" s="103">
        <v>45752</v>
      </c>
      <c r="I108" s="75">
        <f>IFERROR(VLOOKUP(Table1[[#This Row],[Date]],Table3[[Date]:[Sunset Time (POA&lt;20 W/m2)]],3,0),"")</f>
        <v>0.25833333333333336</v>
      </c>
      <c r="J108" s="75">
        <f>IFERROR(VLOOKUP(Table1[[#This Row],[Date]],Table3[[Date]:[Sunset Time (POA&lt;20 W/m2)]],4,0),"")</f>
        <v>0.76875000000000004</v>
      </c>
      <c r="K108" s="76">
        <f>IFERROR((Table1[[#This Row],[Sunset Time (POA&lt;20 W/m2)]]-Table1[[#This Row],[Sunrise Time (POA&gt;20 W/m2)]])*24,"")</f>
        <v>12.250000000000002</v>
      </c>
      <c r="L108" s="107" t="s">
        <v>231</v>
      </c>
      <c r="M108" s="61">
        <f>VLOOKUP(Table1[[#This Row],[Affceted Equipment]],'Basic Data'!$A$2:$C$818,2,0)</f>
        <v>669.6</v>
      </c>
      <c r="N108" s="92">
        <f>IFERROR(VLOOKUP(Table1[[#This Row],[Affceted Equipment]],'Basic Data'!$A$2:$C$818,3,0),"")</f>
        <v>8.348190352703562E-2</v>
      </c>
      <c r="O108" s="115" t="s">
        <v>323</v>
      </c>
      <c r="P108" s="93" t="s">
        <v>1088</v>
      </c>
      <c r="Q108" s="93"/>
      <c r="R108" s="93" t="s">
        <v>1088</v>
      </c>
      <c r="S108" s="91">
        <v>0.46875</v>
      </c>
      <c r="T108" s="116"/>
      <c r="U108" s="116"/>
      <c r="V108" s="91">
        <v>0.48819444444444443</v>
      </c>
      <c r="W108" s="88">
        <f>IF(Table1[[#This Row],[Acknowledgemnet Time ]]="NA","",(Table1[[#This Row],[Acknowledgemnet Time ]]-Table1[[#This Row],[Fault Time]])*24)</f>
        <v>-11.25</v>
      </c>
      <c r="X108" s="88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89">
        <f>IFERROR(Table1[[#This Row],[Breakdown Time]]*Table1[[#This Row],[Plant Equivalent Weightage]],"")</f>
        <v>3.8958221645949927E-2</v>
      </c>
      <c r="AD108" s="2">
        <v>0.44</v>
      </c>
      <c r="AE108" s="88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4">
        <f>YEAR(Table1[[#This Row],[Date]])+IF(MONTH(Table1[[#This Row],[Date]])&gt;=4,1,0)</f>
        <v>2026</v>
      </c>
      <c r="C109" s="73">
        <f>YEAR(Table1[[#This Row],[Date]])</f>
        <v>2025</v>
      </c>
      <c r="D109" s="73" t="s">
        <v>1082</v>
      </c>
      <c r="E109" s="73" t="s">
        <v>1082</v>
      </c>
      <c r="F109" s="170">
        <f>Table1[[#This Row],[Date]]-DAY(Table1[[#This Row],[Date]])+1</f>
        <v>45748</v>
      </c>
      <c r="G109">
        <f>DAY(EOMONTH(Table1[[#This Row],[Month Year]],0))</f>
        <v>30</v>
      </c>
      <c r="H109" s="103">
        <v>45752</v>
      </c>
      <c r="I109" s="75">
        <f>IFERROR(VLOOKUP(Table1[[#This Row],[Date]],Table3[[Date]:[Sunset Time (POA&lt;20 W/m2)]],3,0),"")</f>
        <v>0.25833333333333336</v>
      </c>
      <c r="J109" s="75">
        <f>IFERROR(VLOOKUP(Table1[[#This Row],[Date]],Table3[[Date]:[Sunset Time (POA&lt;20 W/m2)]],4,0),"")</f>
        <v>0.76875000000000004</v>
      </c>
      <c r="K109" s="76">
        <f>IFERROR((Table1[[#This Row],[Sunset Time (POA&lt;20 W/m2)]]-Table1[[#This Row],[Sunrise Time (POA&gt;20 W/m2)]])*24,"")</f>
        <v>12.250000000000002</v>
      </c>
      <c r="L109" s="107" t="s">
        <v>232</v>
      </c>
      <c r="M109" s="61">
        <f>VLOOKUP(Table1[[#This Row],[Affceted Equipment]],'Basic Data'!$A$2:$C$818,2,0)</f>
        <v>669.6</v>
      </c>
      <c r="N109" s="92">
        <f>IFERROR(VLOOKUP(Table1[[#This Row],[Affceted Equipment]],'Basic Data'!$A$2:$C$818,3,0),"")</f>
        <v>8.348190352703562E-2</v>
      </c>
      <c r="O109" s="115" t="s">
        <v>323</v>
      </c>
      <c r="P109" s="93" t="s">
        <v>1090</v>
      </c>
      <c r="Q109" s="93"/>
      <c r="R109" s="93" t="s">
        <v>1090</v>
      </c>
      <c r="S109" s="91">
        <v>0.46875</v>
      </c>
      <c r="T109" s="116"/>
      <c r="U109" s="116"/>
      <c r="V109" s="91">
        <v>0.48819444444444443</v>
      </c>
      <c r="W109" s="88">
        <f>IF(Table1[[#This Row],[Acknowledgemnet Time ]]="NA","",(Table1[[#This Row],[Acknowledgemnet Time ]]-Table1[[#This Row],[Fault Time]])*24)</f>
        <v>-11.25</v>
      </c>
      <c r="X109" s="88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89">
        <f>IFERROR(Table1[[#This Row],[Breakdown Time]]*Table1[[#This Row],[Plant Equivalent Weightage]],"")</f>
        <v>3.8958221645949927E-2</v>
      </c>
      <c r="AD109" s="2">
        <v>0.44</v>
      </c>
      <c r="AE109" s="88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4">
        <f>YEAR(Table1[[#This Row],[Date]])+IF(MONTH(Table1[[#This Row],[Date]])&gt;=4,1,0)</f>
        <v>2026</v>
      </c>
      <c r="C110" s="73">
        <f>YEAR(Table1[[#This Row],[Date]])</f>
        <v>2025</v>
      </c>
      <c r="D110" s="73" t="s">
        <v>1082</v>
      </c>
      <c r="E110" s="73" t="s">
        <v>1082</v>
      </c>
      <c r="F110" s="170">
        <f>Table1[[#This Row],[Date]]-DAY(Table1[[#This Row],[Date]])+1</f>
        <v>45748</v>
      </c>
      <c r="G110">
        <f>DAY(EOMONTH(Table1[[#This Row],[Month Year]],0))</f>
        <v>30</v>
      </c>
      <c r="H110" s="103">
        <v>45752</v>
      </c>
      <c r="I110" s="75">
        <f>IFERROR(VLOOKUP(Table1[[#This Row],[Date]],Table3[[Date]:[Sunset Time (POA&lt;20 W/m2)]],3,0),"")</f>
        <v>0.25833333333333336</v>
      </c>
      <c r="J110" s="75">
        <f>IFERROR(VLOOKUP(Table1[[#This Row],[Date]],Table3[[Date]:[Sunset Time (POA&lt;20 W/m2)]],4,0),"")</f>
        <v>0.76875000000000004</v>
      </c>
      <c r="K110" s="76">
        <f>IFERROR((Table1[[#This Row],[Sunset Time (POA&lt;20 W/m2)]]-Table1[[#This Row],[Sunrise Time (POA&gt;20 W/m2)]])*24,"")</f>
        <v>12.250000000000002</v>
      </c>
      <c r="L110" s="107" t="s">
        <v>180</v>
      </c>
      <c r="M110" s="61">
        <f>VLOOKUP(Table1[[#This Row],[Affceted Equipment]],'Basic Data'!$A$2:$C$818,2,0)</f>
        <v>2694.6</v>
      </c>
      <c r="N110" s="92">
        <f>IFERROR(VLOOKUP(Table1[[#This Row],[Affceted Equipment]],'Basic Data'!$A$2:$C$818,3,0),"")</f>
        <v>0.33594733758057077</v>
      </c>
      <c r="O110" s="115" t="s">
        <v>323</v>
      </c>
      <c r="P110" s="93" t="s">
        <v>1089</v>
      </c>
      <c r="Q110" s="93"/>
      <c r="R110" s="93" t="s">
        <v>1089</v>
      </c>
      <c r="S110" s="91">
        <v>0.48819444444444443</v>
      </c>
      <c r="T110" s="116"/>
      <c r="U110" s="116"/>
      <c r="V110" s="91">
        <v>0.50902777777777775</v>
      </c>
      <c r="W110" s="88">
        <f>IF(Table1[[#This Row],[Acknowledgemnet Time ]]="NA","",(Table1[[#This Row],[Acknowledgemnet Time ]]-Table1[[#This Row],[Fault Time]])*24)</f>
        <v>-11.716666666666667</v>
      </c>
      <c r="X110" s="88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89">
        <f>IFERROR(Table1[[#This Row],[Breakdown Time]]*Table1[[#This Row],[Plant Equivalent Weightage]],"")</f>
        <v>0.16797366879028525</v>
      </c>
      <c r="AD110" s="2">
        <v>0.49</v>
      </c>
      <c r="AE110" s="88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4">
        <f>YEAR(Table1[[#This Row],[Date]])+IF(MONTH(Table1[[#This Row],[Date]])&gt;=4,1,0)</f>
        <v>2026</v>
      </c>
      <c r="C111" s="73">
        <f>YEAR(Table1[[#This Row],[Date]])</f>
        <v>2025</v>
      </c>
      <c r="D111" s="73" t="s">
        <v>1082</v>
      </c>
      <c r="E111" s="73" t="s">
        <v>1082</v>
      </c>
      <c r="F111" s="170">
        <f>Table1[[#This Row],[Date]]-DAY(Table1[[#This Row],[Date]])+1</f>
        <v>45748</v>
      </c>
      <c r="G111">
        <f>DAY(EOMONTH(Table1[[#This Row],[Month Year]],0))</f>
        <v>30</v>
      </c>
      <c r="H111" s="103">
        <v>45752</v>
      </c>
      <c r="I111" s="75">
        <f>IFERROR(VLOOKUP(Table1[[#This Row],[Date]],Table3[[Date]:[Sunset Time (POA&lt;20 W/m2)]],3,0),"")</f>
        <v>0.25833333333333336</v>
      </c>
      <c r="J111" s="75">
        <f>IFERROR(VLOOKUP(Table1[[#This Row],[Date]],Table3[[Date]:[Sunset Time (POA&lt;20 W/m2)]],4,0),"")</f>
        <v>0.76875000000000004</v>
      </c>
      <c r="K111" s="76">
        <f>IFERROR((Table1[[#This Row],[Sunset Time (POA&lt;20 W/m2)]]-Table1[[#This Row],[Sunrise Time (POA&gt;20 W/m2)]])*24,"")</f>
        <v>12.250000000000002</v>
      </c>
      <c r="L111" s="107" t="s">
        <v>231</v>
      </c>
      <c r="M111" s="61">
        <f>VLOOKUP(Table1[[#This Row],[Affceted Equipment]],'Basic Data'!$A$2:$C$818,2,0)</f>
        <v>669.6</v>
      </c>
      <c r="N111" s="92">
        <f>IFERROR(VLOOKUP(Table1[[#This Row],[Affceted Equipment]],'Basic Data'!$A$2:$C$818,3,0),"")</f>
        <v>8.348190352703562E-2</v>
      </c>
      <c r="O111" s="115" t="s">
        <v>323</v>
      </c>
      <c r="P111" s="93" t="s">
        <v>1088</v>
      </c>
      <c r="Q111" s="93"/>
      <c r="R111" s="93" t="s">
        <v>1088</v>
      </c>
      <c r="S111" s="91">
        <v>0.50902777777777775</v>
      </c>
      <c r="T111" s="116"/>
      <c r="U111" s="116"/>
      <c r="V111" s="91">
        <v>0.51597222222222228</v>
      </c>
      <c r="W111" s="88">
        <f>IF(Table1[[#This Row],[Acknowledgemnet Time ]]="NA","",(Table1[[#This Row],[Acknowledgemnet Time ]]-Table1[[#This Row],[Fault Time]])*24)</f>
        <v>-12.216666666666665</v>
      </c>
      <c r="X111" s="88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89">
        <f>IFERROR(Table1[[#This Row],[Breakdown Time]]*Table1[[#This Row],[Plant Equivalent Weightage]],"")</f>
        <v>1.3913650587839443E-2</v>
      </c>
      <c r="AD111" s="2">
        <v>0.17</v>
      </c>
      <c r="AE111" s="88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4">
        <f>YEAR(Table1[[#This Row],[Date]])+IF(MONTH(Table1[[#This Row],[Date]])&gt;=4,1,0)</f>
        <v>2026</v>
      </c>
      <c r="C112" s="73">
        <f>YEAR(Table1[[#This Row],[Date]])</f>
        <v>2025</v>
      </c>
      <c r="D112" s="73" t="s">
        <v>1082</v>
      </c>
      <c r="E112" s="73" t="s">
        <v>1082</v>
      </c>
      <c r="F112" s="170">
        <f>Table1[[#This Row],[Date]]-DAY(Table1[[#This Row],[Date]])+1</f>
        <v>45748</v>
      </c>
      <c r="G112">
        <f>DAY(EOMONTH(Table1[[#This Row],[Month Year]],0))</f>
        <v>30</v>
      </c>
      <c r="H112" s="103">
        <v>45752</v>
      </c>
      <c r="I112" s="75">
        <f>IFERROR(VLOOKUP(Table1[[#This Row],[Date]],Table3[[Date]:[Sunset Time (POA&lt;20 W/m2)]],3,0),"")</f>
        <v>0.25833333333333336</v>
      </c>
      <c r="J112" s="75">
        <f>IFERROR(VLOOKUP(Table1[[#This Row],[Date]],Table3[[Date]:[Sunset Time (POA&lt;20 W/m2)]],4,0),"")</f>
        <v>0.76875000000000004</v>
      </c>
      <c r="K112" s="76">
        <f>IFERROR((Table1[[#This Row],[Sunset Time (POA&lt;20 W/m2)]]-Table1[[#This Row],[Sunrise Time (POA&gt;20 W/m2)]])*24,"")</f>
        <v>12.250000000000002</v>
      </c>
      <c r="L112" s="107" t="s">
        <v>232</v>
      </c>
      <c r="M112" s="61">
        <f>VLOOKUP(Table1[[#This Row],[Affceted Equipment]],'Basic Data'!$A$2:$C$818,2,0)</f>
        <v>669.6</v>
      </c>
      <c r="N112" s="92">
        <f>IFERROR(VLOOKUP(Table1[[#This Row],[Affceted Equipment]],'Basic Data'!$A$2:$C$818,3,0),"")</f>
        <v>8.348190352703562E-2</v>
      </c>
      <c r="O112" s="115" t="s">
        <v>323</v>
      </c>
      <c r="P112" s="93" t="s">
        <v>1090</v>
      </c>
      <c r="Q112" s="93"/>
      <c r="R112" s="93" t="s">
        <v>1090</v>
      </c>
      <c r="S112" s="91">
        <v>0.50902777777777775</v>
      </c>
      <c r="T112" s="116"/>
      <c r="U112" s="116"/>
      <c r="V112" s="91">
        <v>0.51597222222222228</v>
      </c>
      <c r="W112" s="88">
        <f>IF(Table1[[#This Row],[Acknowledgemnet Time ]]="NA","",(Table1[[#This Row],[Acknowledgemnet Time ]]-Table1[[#This Row],[Fault Time]])*24)</f>
        <v>-12.216666666666665</v>
      </c>
      <c r="X112" s="88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89">
        <f>IFERROR(Table1[[#This Row],[Breakdown Time]]*Table1[[#This Row],[Plant Equivalent Weightage]],"")</f>
        <v>1.3913650587839443E-2</v>
      </c>
      <c r="AD112" s="2">
        <v>0.17</v>
      </c>
      <c r="AE112" s="88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4">
        <f>YEAR(Table1[[#This Row],[Date]])+IF(MONTH(Table1[[#This Row],[Date]])&gt;=4,1,0)</f>
        <v>2026</v>
      </c>
      <c r="C113" s="73">
        <f>YEAR(Table1[[#This Row],[Date]])</f>
        <v>2025</v>
      </c>
      <c r="D113" s="73" t="s">
        <v>1082</v>
      </c>
      <c r="E113" s="73" t="s">
        <v>1082</v>
      </c>
      <c r="F113" s="170">
        <f>Table1[[#This Row],[Date]]-DAY(Table1[[#This Row],[Date]])+1</f>
        <v>45748</v>
      </c>
      <c r="G113">
        <f>DAY(EOMONTH(Table1[[#This Row],[Month Year]],0))</f>
        <v>30</v>
      </c>
      <c r="H113" s="103">
        <v>45752</v>
      </c>
      <c r="I113" s="75">
        <f>IFERROR(VLOOKUP(Table1[[#This Row],[Date]],Table3[[Date]:[Sunset Time (POA&lt;20 W/m2)]],3,0),"")</f>
        <v>0.25833333333333336</v>
      </c>
      <c r="J113" s="75">
        <f>IFERROR(VLOOKUP(Table1[[#This Row],[Date]],Table3[[Date]:[Sunset Time (POA&lt;20 W/m2)]],4,0),"")</f>
        <v>0.76875000000000004</v>
      </c>
      <c r="K113" s="76">
        <f>IFERROR((Table1[[#This Row],[Sunset Time (POA&lt;20 W/m2)]]-Table1[[#This Row],[Sunrise Time (POA&gt;20 W/m2)]])*24,"")</f>
        <v>12.250000000000002</v>
      </c>
      <c r="L113" s="107" t="s">
        <v>180</v>
      </c>
      <c r="M113" s="90">
        <f>VLOOKUP(Table1[[#This Row],[Affceted Equipment]],'Basic Data'!$A$2:$C$818,2,0)</f>
        <v>2694.6</v>
      </c>
      <c r="N113" s="92">
        <f>IFERROR(VLOOKUP(Table1[[#This Row],[Affceted Equipment]],'Basic Data'!$A$2:$C$818,3,0),"")</f>
        <v>0.33594733758057077</v>
      </c>
      <c r="O113" s="115" t="s">
        <v>323</v>
      </c>
      <c r="P113" s="93" t="s">
        <v>1089</v>
      </c>
      <c r="Q113" s="93"/>
      <c r="R113" s="93" t="s">
        <v>1089</v>
      </c>
      <c r="S113" s="91">
        <v>0.51597222222222228</v>
      </c>
      <c r="T113" s="116"/>
      <c r="U113" s="116"/>
      <c r="V113" s="91">
        <v>0.52430555555555558</v>
      </c>
      <c r="W113" s="88">
        <f>IF(Table1[[#This Row],[Acknowledgemnet Time ]]="NA","",(Table1[[#This Row],[Acknowledgemnet Time ]]-Table1[[#This Row],[Fault Time]])*24)</f>
        <v>-12.383333333333335</v>
      </c>
      <c r="X113" s="88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89">
        <f>IFERROR(Table1[[#This Row],[Breakdown Time]]*Table1[[#This Row],[Plant Equivalent Weightage]],"")</f>
        <v>6.7189467516113918E-2</v>
      </c>
      <c r="AD113" s="2">
        <v>0.21</v>
      </c>
      <c r="AE113" s="88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4">
        <f>YEAR(Table1[[#This Row],[Date]])+IF(MONTH(Table1[[#This Row],[Date]])&gt;=4,1,0)</f>
        <v>2026</v>
      </c>
      <c r="C114" s="73">
        <f>YEAR(Table1[[#This Row],[Date]])</f>
        <v>2025</v>
      </c>
      <c r="D114" s="73" t="s">
        <v>1082</v>
      </c>
      <c r="E114" s="73" t="s">
        <v>1082</v>
      </c>
      <c r="F114" s="170">
        <f>Table1[[#This Row],[Date]]-DAY(Table1[[#This Row],[Date]])+1</f>
        <v>45748</v>
      </c>
      <c r="G114">
        <f>DAY(EOMONTH(Table1[[#This Row],[Month Year]],0))</f>
        <v>30</v>
      </c>
      <c r="H114" s="103">
        <v>45752</v>
      </c>
      <c r="I114" s="75">
        <f>IFERROR(VLOOKUP(Table1[[#This Row],[Date]],Table3[[Date]:[Sunset Time (POA&lt;20 W/m2)]],3,0),"")</f>
        <v>0.25833333333333336</v>
      </c>
      <c r="J114" s="75">
        <f>IFERROR(VLOOKUP(Table1[[#This Row],[Date]],Table3[[Date]:[Sunset Time (POA&lt;20 W/m2)]],4,0),"")</f>
        <v>0.76875000000000004</v>
      </c>
      <c r="K114" s="76">
        <f>IFERROR((Table1[[#This Row],[Sunset Time (POA&lt;20 W/m2)]]-Table1[[#This Row],[Sunrise Time (POA&gt;20 W/m2)]])*24,"")</f>
        <v>12.250000000000002</v>
      </c>
      <c r="L114" s="107" t="s">
        <v>231</v>
      </c>
      <c r="M114" s="61">
        <f>VLOOKUP(Table1[[#This Row],[Affceted Equipment]],'Basic Data'!$A$2:$C$818,2,0)</f>
        <v>669.6</v>
      </c>
      <c r="N114" s="92">
        <f>IFERROR(VLOOKUP(Table1[[#This Row],[Affceted Equipment]],'Basic Data'!$A$2:$C$818,3,0),"")</f>
        <v>8.348190352703562E-2</v>
      </c>
      <c r="O114" s="115" t="s">
        <v>323</v>
      </c>
      <c r="P114" s="93" t="s">
        <v>1088</v>
      </c>
      <c r="Q114" s="93"/>
      <c r="R114" s="93" t="s">
        <v>1088</v>
      </c>
      <c r="S114" s="91">
        <v>0.52430555555555558</v>
      </c>
      <c r="T114" s="116"/>
      <c r="U114" s="116"/>
      <c r="V114" s="91">
        <v>0.52916666666666667</v>
      </c>
      <c r="W114" s="88">
        <f>IF(Table1[[#This Row],[Acknowledgemnet Time ]]="NA","",(Table1[[#This Row],[Acknowledgemnet Time ]]-Table1[[#This Row],[Fault Time]])*24)</f>
        <v>-12.583333333333334</v>
      </c>
      <c r="X114" s="88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89">
        <f>IFERROR(Table1[[#This Row],[Breakdown Time]]*Table1[[#This Row],[Plant Equivalent Weightage]],"")</f>
        <v>9.7395554114874539E-3</v>
      </c>
      <c r="AD114" s="2">
        <v>0.13</v>
      </c>
      <c r="AE114" s="88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4">
        <f>YEAR(Table1[[#This Row],[Date]])+IF(MONTH(Table1[[#This Row],[Date]])&gt;=4,1,0)</f>
        <v>2026</v>
      </c>
      <c r="C115" s="73">
        <f>YEAR(Table1[[#This Row],[Date]])</f>
        <v>2025</v>
      </c>
      <c r="D115" s="73" t="s">
        <v>1082</v>
      </c>
      <c r="E115" s="73" t="s">
        <v>1082</v>
      </c>
      <c r="F115" s="170">
        <f>Table1[[#This Row],[Date]]-DAY(Table1[[#This Row],[Date]])+1</f>
        <v>45748</v>
      </c>
      <c r="G115">
        <f>DAY(EOMONTH(Table1[[#This Row],[Month Year]],0))</f>
        <v>30</v>
      </c>
      <c r="H115" s="103">
        <v>45752</v>
      </c>
      <c r="I115" s="75">
        <f>IFERROR(VLOOKUP(Table1[[#This Row],[Date]],Table3[[Date]:[Sunset Time (POA&lt;20 W/m2)]],3,0),"")</f>
        <v>0.25833333333333336</v>
      </c>
      <c r="J115" s="75">
        <f>IFERROR(VLOOKUP(Table1[[#This Row],[Date]],Table3[[Date]:[Sunset Time (POA&lt;20 W/m2)]],4,0),"")</f>
        <v>0.76875000000000004</v>
      </c>
      <c r="K115" s="76">
        <f>IFERROR((Table1[[#This Row],[Sunset Time (POA&lt;20 W/m2)]]-Table1[[#This Row],[Sunrise Time (POA&gt;20 W/m2)]])*24,"")</f>
        <v>12.250000000000002</v>
      </c>
      <c r="L115" s="107" t="s">
        <v>232</v>
      </c>
      <c r="M115" s="90">
        <f>VLOOKUP(Table1[[#This Row],[Affceted Equipment]],'Basic Data'!$A$2:$C$818,2,0)</f>
        <v>669.6</v>
      </c>
      <c r="N115" s="92">
        <f>IFERROR(VLOOKUP(Table1[[#This Row],[Affceted Equipment]],'Basic Data'!$A$2:$C$818,3,0),"")</f>
        <v>8.348190352703562E-2</v>
      </c>
      <c r="O115" s="115" t="s">
        <v>323</v>
      </c>
      <c r="P115" s="93" t="s">
        <v>1090</v>
      </c>
      <c r="Q115" s="93"/>
      <c r="R115" s="93" t="s">
        <v>1090</v>
      </c>
      <c r="S115" s="91">
        <v>0.52430555555555558</v>
      </c>
      <c r="T115" s="116"/>
      <c r="U115" s="116"/>
      <c r="V115" s="91">
        <v>0.52916666666666667</v>
      </c>
      <c r="W115" s="88">
        <f>IF(Table1[[#This Row],[Acknowledgemnet Time ]]="NA","",(Table1[[#This Row],[Acknowledgemnet Time ]]-Table1[[#This Row],[Fault Time]])*24)</f>
        <v>-12.583333333333334</v>
      </c>
      <c r="X115" s="88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89">
        <f>IFERROR(Table1[[#This Row],[Breakdown Time]]*Table1[[#This Row],[Plant Equivalent Weightage]],"")</f>
        <v>9.7395554114874539E-3</v>
      </c>
      <c r="AD115" s="2">
        <v>0.13</v>
      </c>
      <c r="AE115" s="88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4">
        <f>YEAR(Table1[[#This Row],[Date]])+IF(MONTH(Table1[[#This Row],[Date]])&gt;=4,1,0)</f>
        <v>2026</v>
      </c>
      <c r="C116" s="73">
        <f>YEAR(Table1[[#This Row],[Date]])</f>
        <v>2025</v>
      </c>
      <c r="D116" s="73" t="s">
        <v>1082</v>
      </c>
      <c r="E116" s="73" t="s">
        <v>1082</v>
      </c>
      <c r="F116" s="170">
        <f>Table1[[#This Row],[Date]]-DAY(Table1[[#This Row],[Date]])+1</f>
        <v>45748</v>
      </c>
      <c r="G116">
        <f>DAY(EOMONTH(Table1[[#This Row],[Month Year]],0))</f>
        <v>30</v>
      </c>
      <c r="H116" s="103">
        <v>45752</v>
      </c>
      <c r="I116" s="75">
        <f>IFERROR(VLOOKUP(Table1[[#This Row],[Date]],Table3[[Date]:[Sunset Time (POA&lt;20 W/m2)]],3,0),"")</f>
        <v>0.25833333333333336</v>
      </c>
      <c r="J116" s="75">
        <f>IFERROR(VLOOKUP(Table1[[#This Row],[Date]],Table3[[Date]:[Sunset Time (POA&lt;20 W/m2)]],4,0),"")</f>
        <v>0.76875000000000004</v>
      </c>
      <c r="K116" s="76">
        <f>IFERROR((Table1[[#This Row],[Sunset Time (POA&lt;20 W/m2)]]-Table1[[#This Row],[Sunrise Time (POA&gt;20 W/m2)]])*24,"")</f>
        <v>12.250000000000002</v>
      </c>
      <c r="L116" s="107" t="s">
        <v>180</v>
      </c>
      <c r="M116" s="90">
        <f>VLOOKUP(Table1[[#This Row],[Affceted Equipment]],'Basic Data'!$A$2:$C$818,2,0)</f>
        <v>2694.6</v>
      </c>
      <c r="N116" s="92">
        <f>IFERROR(VLOOKUP(Table1[[#This Row],[Affceted Equipment]],'Basic Data'!$A$2:$C$818,3,0),"")</f>
        <v>0.33594733758057077</v>
      </c>
      <c r="O116" s="115" t="s">
        <v>323</v>
      </c>
      <c r="P116" s="93" t="s">
        <v>1089</v>
      </c>
      <c r="Q116" s="93"/>
      <c r="R116" s="93" t="s">
        <v>1089</v>
      </c>
      <c r="S116" s="91">
        <v>0.52916666666666667</v>
      </c>
      <c r="T116" s="116"/>
      <c r="U116" s="116"/>
      <c r="V116" s="91">
        <v>0.53472222222222221</v>
      </c>
      <c r="W116" s="88">
        <f>IF(Table1[[#This Row],[Acknowledgemnet Time ]]="NA","",(Table1[[#This Row],[Acknowledgemnet Time ]]-Table1[[#This Row],[Fault Time]])*24)</f>
        <v>-12.7</v>
      </c>
      <c r="X116" s="88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89">
        <f>IFERROR(Table1[[#This Row],[Breakdown Time]]*Table1[[#This Row],[Plant Equivalent Weightage]],"")</f>
        <v>4.4792978344075945E-2</v>
      </c>
      <c r="AD116" s="2">
        <v>0.14000000000000001</v>
      </c>
      <c r="AE116" s="88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4">
        <f>YEAR(Table1[[#This Row],[Date]])+IF(MONTH(Table1[[#This Row],[Date]])&gt;=4,1,0)</f>
        <v>2026</v>
      </c>
      <c r="C117" s="73">
        <f>YEAR(Table1[[#This Row],[Date]])</f>
        <v>2025</v>
      </c>
      <c r="D117" s="73" t="s">
        <v>1082</v>
      </c>
      <c r="E117" s="73" t="s">
        <v>1082</v>
      </c>
      <c r="F117" s="170">
        <f>Table1[[#This Row],[Date]]-DAY(Table1[[#This Row],[Date]])+1</f>
        <v>45748</v>
      </c>
      <c r="G117">
        <f>DAY(EOMONTH(Table1[[#This Row],[Month Year]],0))</f>
        <v>30</v>
      </c>
      <c r="H117" s="103">
        <v>45752</v>
      </c>
      <c r="I117" s="75">
        <f>IFERROR(VLOOKUP(Table1[[#This Row],[Date]],Table3[[Date]:[Sunset Time (POA&lt;20 W/m2)]],3,0),"")</f>
        <v>0.25833333333333336</v>
      </c>
      <c r="J117" s="75">
        <f>IFERROR(VLOOKUP(Table1[[#This Row],[Date]],Table3[[Date]:[Sunset Time (POA&lt;20 W/m2)]],4,0),"")</f>
        <v>0.76875000000000004</v>
      </c>
      <c r="K117" s="76">
        <f>IFERROR((Table1[[#This Row],[Sunset Time (POA&lt;20 W/m2)]]-Table1[[#This Row],[Sunrise Time (POA&gt;20 W/m2)]])*24,"")</f>
        <v>12.250000000000002</v>
      </c>
      <c r="L117" s="107" t="s">
        <v>231</v>
      </c>
      <c r="M117" s="61">
        <f>VLOOKUP(Table1[[#This Row],[Affceted Equipment]],'Basic Data'!$A$2:$C$818,2,0)</f>
        <v>669.6</v>
      </c>
      <c r="N117" s="92">
        <f>IFERROR(VLOOKUP(Table1[[#This Row],[Affceted Equipment]],'Basic Data'!$A$2:$C$818,3,0),"")</f>
        <v>8.348190352703562E-2</v>
      </c>
      <c r="O117" s="115" t="s">
        <v>323</v>
      </c>
      <c r="P117" s="93" t="s">
        <v>1088</v>
      </c>
      <c r="Q117" s="93"/>
      <c r="R117" s="93" t="s">
        <v>1088</v>
      </c>
      <c r="S117" s="91">
        <v>0.53472222222222221</v>
      </c>
      <c r="T117" s="116"/>
      <c r="U117" s="116"/>
      <c r="V117" s="91">
        <v>0.53819444444444442</v>
      </c>
      <c r="W117" s="88">
        <f>IF(Table1[[#This Row],[Acknowledgemnet Time ]]="NA","",(Table1[[#This Row],[Acknowledgemnet Time ]]-Table1[[#This Row],[Fault Time]])*24)</f>
        <v>-12.833333333333332</v>
      </c>
      <c r="X117" s="88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89">
        <f>IFERROR(Table1[[#This Row],[Breakdown Time]]*Table1[[#This Row],[Plant Equivalent Weightage]],"")</f>
        <v>6.9568252939196107E-3</v>
      </c>
      <c r="AD117" s="2">
        <v>0.09</v>
      </c>
      <c r="AE117" s="88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4">
        <f>YEAR(Table1[[#This Row],[Date]])+IF(MONTH(Table1[[#This Row],[Date]])&gt;=4,1,0)</f>
        <v>2026</v>
      </c>
      <c r="C118" s="73">
        <f>YEAR(Table1[[#This Row],[Date]])</f>
        <v>2025</v>
      </c>
      <c r="D118" s="73" t="s">
        <v>1082</v>
      </c>
      <c r="E118" s="73" t="s">
        <v>1082</v>
      </c>
      <c r="F118" s="170">
        <f>Table1[[#This Row],[Date]]-DAY(Table1[[#This Row],[Date]])+1</f>
        <v>45748</v>
      </c>
      <c r="G118">
        <f>DAY(EOMONTH(Table1[[#This Row],[Month Year]],0))</f>
        <v>30</v>
      </c>
      <c r="H118" s="103">
        <v>45752</v>
      </c>
      <c r="I118" s="75">
        <f>IFERROR(VLOOKUP(Table1[[#This Row],[Date]],Table3[[Date]:[Sunset Time (POA&lt;20 W/m2)]],3,0),"")</f>
        <v>0.25833333333333336</v>
      </c>
      <c r="J118" s="75">
        <f>IFERROR(VLOOKUP(Table1[[#This Row],[Date]],Table3[[Date]:[Sunset Time (POA&lt;20 W/m2)]],4,0),"")</f>
        <v>0.76875000000000004</v>
      </c>
      <c r="K118" s="76">
        <f>IFERROR((Table1[[#This Row],[Sunset Time (POA&lt;20 W/m2)]]-Table1[[#This Row],[Sunrise Time (POA&gt;20 W/m2)]])*24,"")</f>
        <v>12.250000000000002</v>
      </c>
      <c r="L118" s="107" t="s">
        <v>232</v>
      </c>
      <c r="M118" s="90">
        <f>VLOOKUP(Table1[[#This Row],[Affceted Equipment]],'Basic Data'!$A$2:$C$818,2,0)</f>
        <v>669.6</v>
      </c>
      <c r="N118" s="92">
        <f>IFERROR(VLOOKUP(Table1[[#This Row],[Affceted Equipment]],'Basic Data'!$A$2:$C$818,3,0),"")</f>
        <v>8.348190352703562E-2</v>
      </c>
      <c r="O118" s="115" t="s">
        <v>323</v>
      </c>
      <c r="P118" s="93" t="s">
        <v>1090</v>
      </c>
      <c r="Q118" s="93"/>
      <c r="R118" s="93" t="s">
        <v>1090</v>
      </c>
      <c r="S118" s="91">
        <v>0.53472222222222221</v>
      </c>
      <c r="T118" s="116"/>
      <c r="U118" s="116"/>
      <c r="V118" s="91">
        <v>0.53819444444444442</v>
      </c>
      <c r="W118" s="88">
        <f>IF(Table1[[#This Row],[Acknowledgemnet Time ]]="NA","",(Table1[[#This Row],[Acknowledgemnet Time ]]-Table1[[#This Row],[Fault Time]])*24)</f>
        <v>-12.833333333333332</v>
      </c>
      <c r="X118" s="88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89">
        <f>IFERROR(Table1[[#This Row],[Breakdown Time]]*Table1[[#This Row],[Plant Equivalent Weightage]],"")</f>
        <v>6.9568252939196107E-3</v>
      </c>
      <c r="AD118" s="2">
        <v>0.09</v>
      </c>
      <c r="AE118" s="88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4">
        <f>YEAR(Table1[[#This Row],[Date]])+IF(MONTH(Table1[[#This Row],[Date]])&gt;=4,1,0)</f>
        <v>2026</v>
      </c>
      <c r="C119" s="73">
        <f>YEAR(Table1[[#This Row],[Date]])</f>
        <v>2025</v>
      </c>
      <c r="D119" s="73" t="s">
        <v>1082</v>
      </c>
      <c r="E119" s="73" t="s">
        <v>1082</v>
      </c>
      <c r="F119" s="170">
        <f>Table1[[#This Row],[Date]]-DAY(Table1[[#This Row],[Date]])+1</f>
        <v>45748</v>
      </c>
      <c r="G119">
        <f>DAY(EOMONTH(Table1[[#This Row],[Month Year]],0))</f>
        <v>30</v>
      </c>
      <c r="H119" s="103">
        <v>45752</v>
      </c>
      <c r="I119" s="75">
        <f>IFERROR(VLOOKUP(Table1[[#This Row],[Date]],Table3[[Date]:[Sunset Time (POA&lt;20 W/m2)]],3,0),"")</f>
        <v>0.25833333333333336</v>
      </c>
      <c r="J119" s="75">
        <f>IFERROR(VLOOKUP(Table1[[#This Row],[Date]],Table3[[Date]:[Sunset Time (POA&lt;20 W/m2)]],4,0),"")</f>
        <v>0.76875000000000004</v>
      </c>
      <c r="K119" s="76">
        <f>IFERROR((Table1[[#This Row],[Sunset Time (POA&lt;20 W/m2)]]-Table1[[#This Row],[Sunrise Time (POA&gt;20 W/m2)]])*24,"")</f>
        <v>12.250000000000002</v>
      </c>
      <c r="L119" s="107" t="s">
        <v>180</v>
      </c>
      <c r="M119" s="90">
        <f>VLOOKUP(Table1[[#This Row],[Affceted Equipment]],'Basic Data'!$A$2:$C$818,2,0)</f>
        <v>2694.6</v>
      </c>
      <c r="N119" s="92">
        <f>IFERROR(VLOOKUP(Table1[[#This Row],[Affceted Equipment]],'Basic Data'!$A$2:$C$818,3,0),"")</f>
        <v>0.33594733758057077</v>
      </c>
      <c r="O119" s="115" t="s">
        <v>323</v>
      </c>
      <c r="P119" s="93" t="s">
        <v>1089</v>
      </c>
      <c r="Q119" s="93"/>
      <c r="R119" s="93" t="s">
        <v>1089</v>
      </c>
      <c r="S119" s="91">
        <v>0.53819444444444442</v>
      </c>
      <c r="T119" s="116"/>
      <c r="U119" s="116"/>
      <c r="V119" s="91">
        <v>0.54583333333333328</v>
      </c>
      <c r="W119" s="88">
        <f>IF(Table1[[#This Row],[Acknowledgemnet Time ]]="NA","",(Table1[[#This Row],[Acknowledgemnet Time ]]-Table1[[#This Row],[Fault Time]])*24)</f>
        <v>-12.916666666666666</v>
      </c>
      <c r="X119" s="88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89">
        <f>IFERROR(Table1[[#This Row],[Breakdown Time]]*Table1[[#This Row],[Plant Equivalent Weightage]],"")</f>
        <v>6.1590345223104422E-2</v>
      </c>
      <c r="AD119" s="2">
        <v>0.19</v>
      </c>
      <c r="AE119" s="88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4">
        <f>YEAR(Table1[[#This Row],[Date]])+IF(MONTH(Table1[[#This Row],[Date]])&gt;=4,1,0)</f>
        <v>2026</v>
      </c>
      <c r="C120" s="73">
        <f>YEAR(Table1[[#This Row],[Date]])</f>
        <v>2025</v>
      </c>
      <c r="D120" s="73" t="s">
        <v>1082</v>
      </c>
      <c r="E120" s="73" t="s">
        <v>1082</v>
      </c>
      <c r="F120" s="170">
        <f>Table1[[#This Row],[Date]]-DAY(Table1[[#This Row],[Date]])+1</f>
        <v>45748</v>
      </c>
      <c r="G120">
        <f>DAY(EOMONTH(Table1[[#This Row],[Month Year]],0))</f>
        <v>30</v>
      </c>
      <c r="H120" s="103">
        <v>45752</v>
      </c>
      <c r="I120" s="75">
        <f>IFERROR(VLOOKUP(Table1[[#This Row],[Date]],Table3[[Date]:[Sunset Time (POA&lt;20 W/m2)]],3,0),"")</f>
        <v>0.25833333333333336</v>
      </c>
      <c r="J120" s="75">
        <f>IFERROR(VLOOKUP(Table1[[#This Row],[Date]],Table3[[Date]:[Sunset Time (POA&lt;20 W/m2)]],4,0),"")</f>
        <v>0.76875000000000004</v>
      </c>
      <c r="K120" s="76">
        <f>IFERROR((Table1[[#This Row],[Sunset Time (POA&lt;20 W/m2)]]-Table1[[#This Row],[Sunrise Time (POA&gt;20 W/m2)]])*24,"")</f>
        <v>12.250000000000002</v>
      </c>
      <c r="L120" s="107" t="s">
        <v>231</v>
      </c>
      <c r="M120" s="61">
        <f>VLOOKUP(Table1[[#This Row],[Affceted Equipment]],'Basic Data'!$A$2:$C$818,2,0)</f>
        <v>669.6</v>
      </c>
      <c r="N120" s="92">
        <f>IFERROR(VLOOKUP(Table1[[#This Row],[Affceted Equipment]],'Basic Data'!$A$2:$C$818,3,0),"")</f>
        <v>8.348190352703562E-2</v>
      </c>
      <c r="O120" s="115" t="s">
        <v>323</v>
      </c>
      <c r="P120" s="93" t="s">
        <v>1088</v>
      </c>
      <c r="Q120" s="93"/>
      <c r="R120" s="93" t="s">
        <v>1088</v>
      </c>
      <c r="S120" s="91">
        <v>0.54583333333333328</v>
      </c>
      <c r="T120" s="116"/>
      <c r="U120" s="116"/>
      <c r="V120" s="91">
        <v>0.55138888888888893</v>
      </c>
      <c r="W120" s="88">
        <f>IF(Table1[[#This Row],[Acknowledgemnet Time ]]="NA","",(Table1[[#This Row],[Acknowledgemnet Time ]]-Table1[[#This Row],[Fault Time]])*24)</f>
        <v>-13.099999999999998</v>
      </c>
      <c r="X120" s="88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89">
        <f>IFERROR(Table1[[#This Row],[Breakdown Time]]*Table1[[#This Row],[Plant Equivalent Weightage]],"")</f>
        <v>1.1130920470271598E-2</v>
      </c>
      <c r="AD120" s="2">
        <v>0.14000000000000001</v>
      </c>
      <c r="AE120" s="88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4">
        <f>YEAR(Table1[[#This Row],[Date]])+IF(MONTH(Table1[[#This Row],[Date]])&gt;=4,1,0)</f>
        <v>2026</v>
      </c>
      <c r="C121" s="73">
        <f>YEAR(Table1[[#This Row],[Date]])</f>
        <v>2025</v>
      </c>
      <c r="D121" s="73" t="s">
        <v>1082</v>
      </c>
      <c r="E121" s="73" t="s">
        <v>1082</v>
      </c>
      <c r="F121" s="170">
        <f>Table1[[#This Row],[Date]]-DAY(Table1[[#This Row],[Date]])+1</f>
        <v>45748</v>
      </c>
      <c r="G121">
        <f>DAY(EOMONTH(Table1[[#This Row],[Month Year]],0))</f>
        <v>30</v>
      </c>
      <c r="H121" s="103">
        <v>45752</v>
      </c>
      <c r="I121" s="75">
        <f>IFERROR(VLOOKUP(Table1[[#This Row],[Date]],Table3[[Date]:[Sunset Time (POA&lt;20 W/m2)]],3,0),"")</f>
        <v>0.25833333333333336</v>
      </c>
      <c r="J121" s="75">
        <f>IFERROR(VLOOKUP(Table1[[#This Row],[Date]],Table3[[Date]:[Sunset Time (POA&lt;20 W/m2)]],4,0),"")</f>
        <v>0.76875000000000004</v>
      </c>
      <c r="K121" s="76">
        <f>IFERROR((Table1[[#This Row],[Sunset Time (POA&lt;20 W/m2)]]-Table1[[#This Row],[Sunrise Time (POA&gt;20 W/m2)]])*24,"")</f>
        <v>12.250000000000002</v>
      </c>
      <c r="L121" s="107" t="s">
        <v>232</v>
      </c>
      <c r="M121" s="90">
        <f>VLOOKUP(Table1[[#This Row],[Affceted Equipment]],'Basic Data'!$A$2:$C$818,2,0)</f>
        <v>669.6</v>
      </c>
      <c r="N121" s="92">
        <f>IFERROR(VLOOKUP(Table1[[#This Row],[Affceted Equipment]],'Basic Data'!$A$2:$C$818,3,0),"")</f>
        <v>8.348190352703562E-2</v>
      </c>
      <c r="O121" s="115" t="s">
        <v>323</v>
      </c>
      <c r="P121" s="93" t="s">
        <v>1090</v>
      </c>
      <c r="Q121" s="93"/>
      <c r="R121" s="93" t="s">
        <v>1090</v>
      </c>
      <c r="S121" s="91">
        <v>0.54583333333333328</v>
      </c>
      <c r="T121" s="116"/>
      <c r="U121" s="116"/>
      <c r="V121" s="91">
        <v>0.55138888888888893</v>
      </c>
      <c r="W121" s="88">
        <f>IF(Table1[[#This Row],[Acknowledgemnet Time ]]="NA","",(Table1[[#This Row],[Acknowledgemnet Time ]]-Table1[[#This Row],[Fault Time]])*24)</f>
        <v>-13.099999999999998</v>
      </c>
      <c r="X121" s="88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89">
        <f>IFERROR(Table1[[#This Row],[Breakdown Time]]*Table1[[#This Row],[Plant Equivalent Weightage]],"")</f>
        <v>1.1130920470271598E-2</v>
      </c>
      <c r="AD121" s="2">
        <v>0.14000000000000001</v>
      </c>
      <c r="AE121" s="88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4">
        <f>YEAR(Table1[[#This Row],[Date]])+IF(MONTH(Table1[[#This Row],[Date]])&gt;=4,1,0)</f>
        <v>2026</v>
      </c>
      <c r="C122" s="73">
        <f>YEAR(Table1[[#This Row],[Date]])</f>
        <v>2025</v>
      </c>
      <c r="D122" s="73" t="s">
        <v>1082</v>
      </c>
      <c r="E122" s="73" t="s">
        <v>1082</v>
      </c>
      <c r="F122" s="170">
        <f>Table1[[#This Row],[Date]]-DAY(Table1[[#This Row],[Date]])+1</f>
        <v>45748</v>
      </c>
      <c r="G122">
        <f>DAY(EOMONTH(Table1[[#This Row],[Month Year]],0))</f>
        <v>30</v>
      </c>
      <c r="H122" s="103">
        <v>45752</v>
      </c>
      <c r="I122" s="75">
        <f>IFERROR(VLOOKUP(Table1[[#This Row],[Date]],Table3[[Date]:[Sunset Time (POA&lt;20 W/m2)]],3,0),"")</f>
        <v>0.25833333333333336</v>
      </c>
      <c r="J122" s="75">
        <f>IFERROR(VLOOKUP(Table1[[#This Row],[Date]],Table3[[Date]:[Sunset Time (POA&lt;20 W/m2)]],4,0),"")</f>
        <v>0.76875000000000004</v>
      </c>
      <c r="K122" s="76">
        <f>IFERROR((Table1[[#This Row],[Sunset Time (POA&lt;20 W/m2)]]-Table1[[#This Row],[Sunrise Time (POA&gt;20 W/m2)]])*24,"")</f>
        <v>12.250000000000002</v>
      </c>
      <c r="L122" s="107" t="s">
        <v>180</v>
      </c>
      <c r="M122" s="90">
        <f>VLOOKUP(Table1[[#This Row],[Affceted Equipment]],'Basic Data'!$A$2:$C$818,2,0)</f>
        <v>2694.6</v>
      </c>
      <c r="N122" s="92">
        <f>IFERROR(VLOOKUP(Table1[[#This Row],[Affceted Equipment]],'Basic Data'!$A$2:$C$818,3,0),"")</f>
        <v>0.33594733758057077</v>
      </c>
      <c r="O122" s="115" t="s">
        <v>323</v>
      </c>
      <c r="P122" s="93" t="s">
        <v>1089</v>
      </c>
      <c r="Q122" s="93"/>
      <c r="R122" s="93" t="s">
        <v>1089</v>
      </c>
      <c r="S122" s="91">
        <v>0.55138888888888893</v>
      </c>
      <c r="T122" s="116"/>
      <c r="U122" s="116"/>
      <c r="V122" s="91">
        <v>0.55694444444444446</v>
      </c>
      <c r="W122" s="88">
        <f>IF(Table1[[#This Row],[Acknowledgemnet Time ]]="NA","",(Table1[[#This Row],[Acknowledgemnet Time ]]-Table1[[#This Row],[Fault Time]])*24)</f>
        <v>-13.233333333333334</v>
      </c>
      <c r="X122" s="88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89">
        <f>IFERROR(Table1[[#This Row],[Breakdown Time]]*Table1[[#This Row],[Plant Equivalent Weightage]],"")</f>
        <v>4.4792978344075945E-2</v>
      </c>
      <c r="AD122" s="2">
        <v>0.14000000000000001</v>
      </c>
      <c r="AE122" s="88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4">
        <f>YEAR(Table1[[#This Row],[Date]])+IF(MONTH(Table1[[#This Row],[Date]])&gt;=4,1,0)</f>
        <v>2026</v>
      </c>
      <c r="C123" s="73">
        <f>YEAR(Table1[[#This Row],[Date]])</f>
        <v>2025</v>
      </c>
      <c r="D123" s="73" t="s">
        <v>1082</v>
      </c>
      <c r="E123" s="73" t="s">
        <v>1082</v>
      </c>
      <c r="F123" s="170">
        <f>Table1[[#This Row],[Date]]-DAY(Table1[[#This Row],[Date]])+1</f>
        <v>45748</v>
      </c>
      <c r="G123">
        <f>DAY(EOMONTH(Table1[[#This Row],[Month Year]],0))</f>
        <v>30</v>
      </c>
      <c r="H123" s="103">
        <v>45752</v>
      </c>
      <c r="I123" s="75">
        <f>IFERROR(VLOOKUP(Table1[[#This Row],[Date]],Table3[[Date]:[Sunset Time (POA&lt;20 W/m2)]],3,0),"")</f>
        <v>0.25833333333333336</v>
      </c>
      <c r="J123" s="75">
        <f>IFERROR(VLOOKUP(Table1[[#This Row],[Date]],Table3[[Date]:[Sunset Time (POA&lt;20 W/m2)]],4,0),"")</f>
        <v>0.76875000000000004</v>
      </c>
      <c r="K123" s="76">
        <f>IFERROR((Table1[[#This Row],[Sunset Time (POA&lt;20 W/m2)]]-Table1[[#This Row],[Sunrise Time (POA&gt;20 W/m2)]])*24,"")</f>
        <v>12.250000000000002</v>
      </c>
      <c r="L123" s="107" t="s">
        <v>181</v>
      </c>
      <c r="M123" s="61">
        <f>VLOOKUP(Table1[[#This Row],[Affceted Equipment]],'Basic Data'!$A$2:$C$818,2,0)</f>
        <v>2630.8</v>
      </c>
      <c r="N123" s="92">
        <f>IFERROR(VLOOKUP(Table1[[#This Row],[Affceted Equipment]],'Basic Data'!$A$2:$C$818,3,0),"")</f>
        <v>0.32799311797927916</v>
      </c>
      <c r="O123" s="115" t="s">
        <v>303</v>
      </c>
      <c r="P123" s="93" t="s">
        <v>1185</v>
      </c>
      <c r="Q123" s="93"/>
      <c r="R123" s="93" t="s">
        <v>1185</v>
      </c>
      <c r="S123" s="91">
        <v>0.55208333333333337</v>
      </c>
      <c r="T123" s="116"/>
      <c r="U123" s="116"/>
      <c r="V123" s="91">
        <v>0.57708333333333328</v>
      </c>
      <c r="W123" s="88">
        <f>IF(Table1[[#This Row],[Acknowledgemnet Time ]]="NA","",(Table1[[#This Row],[Acknowledgemnet Time ]]-Table1[[#This Row],[Fault Time]])*24)</f>
        <v>-13.25</v>
      </c>
      <c r="X123" s="88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89">
        <f>IFERROR(Table1[[#This Row],[Breakdown Time]]*Table1[[#This Row],[Plant Equivalent Weightage]],"")</f>
        <v>0.1967958707875668</v>
      </c>
      <c r="AD123" s="2">
        <v>0.59</v>
      </c>
      <c r="AE123" s="88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4">
        <f>YEAR(Table1[[#This Row],[Date]])+IF(MONTH(Table1[[#This Row],[Date]])&gt;=4,1,0)</f>
        <v>2026</v>
      </c>
      <c r="C124" s="73">
        <f>YEAR(Table1[[#This Row],[Date]])</f>
        <v>2025</v>
      </c>
      <c r="D124" s="73" t="s">
        <v>1082</v>
      </c>
      <c r="E124" s="73" t="s">
        <v>1082</v>
      </c>
      <c r="F124" s="170">
        <f>Table1[[#This Row],[Date]]-DAY(Table1[[#This Row],[Date]])+1</f>
        <v>45748</v>
      </c>
      <c r="G124">
        <f>DAY(EOMONTH(Table1[[#This Row],[Month Year]],0))</f>
        <v>30</v>
      </c>
      <c r="H124" s="103">
        <v>45752</v>
      </c>
      <c r="I124" s="75">
        <f>IFERROR(VLOOKUP(Table1[[#This Row],[Date]],Table3[[Date]:[Sunset Time (POA&lt;20 W/m2)]],3,0),"")</f>
        <v>0.25833333333333336</v>
      </c>
      <c r="J124" s="75">
        <f>IFERROR(VLOOKUP(Table1[[#This Row],[Date]],Table3[[Date]:[Sunset Time (POA&lt;20 W/m2)]],4,0),"")</f>
        <v>0.76875000000000004</v>
      </c>
      <c r="K124" s="76">
        <f>IFERROR((Table1[[#This Row],[Sunset Time (POA&lt;20 W/m2)]]-Table1[[#This Row],[Sunrise Time (POA&gt;20 W/m2)]])*24,"")</f>
        <v>12.250000000000002</v>
      </c>
      <c r="L124" s="107" t="s">
        <v>238</v>
      </c>
      <c r="M124" s="61">
        <f>VLOOKUP(Table1[[#This Row],[Affceted Equipment]],'Basic Data'!$A$2:$C$818,2,0)</f>
        <v>658.8</v>
      </c>
      <c r="N124" s="92">
        <f>IFERROR(VLOOKUP(Table1[[#This Row],[Affceted Equipment]],'Basic Data'!$A$2:$C$818,3,0),"")</f>
        <v>8.2135421212083434E-2</v>
      </c>
      <c r="O124" s="115" t="s">
        <v>303</v>
      </c>
      <c r="P124" s="93" t="s">
        <v>1087</v>
      </c>
      <c r="Q124" s="93"/>
      <c r="R124" s="93" t="s">
        <v>1087</v>
      </c>
      <c r="S124" s="161">
        <v>0.57708333333333328</v>
      </c>
      <c r="T124" s="116"/>
      <c r="U124" s="116"/>
      <c r="V124" s="161">
        <v>0.76875000000000004</v>
      </c>
      <c r="W124" s="88">
        <f>IF(Table1[[#This Row],[Acknowledgemnet Time ]]="NA","",(Table1[[#This Row],[Acknowledgemnet Time ]]-Table1[[#This Row],[Fault Time]])*24)</f>
        <v>-13.849999999999998</v>
      </c>
      <c r="X124" s="88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89">
        <f>IFERROR(Table1[[#This Row],[Breakdown Time]]*Table1[[#This Row],[Plant Equivalent Weightage]],"")</f>
        <v>0.37782293757558399</v>
      </c>
      <c r="AD124" s="2">
        <v>2.23</v>
      </c>
      <c r="AE124" s="88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4">
        <f>YEAR(Table1[[#This Row],[Date]])+IF(MONTH(Table1[[#This Row],[Date]])&gt;=4,1,0)</f>
        <v>2026</v>
      </c>
      <c r="C125" s="73">
        <f>YEAR(Table1[[#This Row],[Date]])</f>
        <v>2025</v>
      </c>
      <c r="D125" s="73" t="s">
        <v>1082</v>
      </c>
      <c r="E125" s="73" t="s">
        <v>1082</v>
      </c>
      <c r="F125" s="170">
        <f>Table1[[#This Row],[Date]]-DAY(Table1[[#This Row],[Date]])+1</f>
        <v>45748</v>
      </c>
      <c r="G125">
        <f>DAY(EOMONTH(Table1[[#This Row],[Month Year]],0))</f>
        <v>30</v>
      </c>
      <c r="H125" s="103">
        <v>45752</v>
      </c>
      <c r="I125" s="75">
        <f>IFERROR(VLOOKUP(Table1[[#This Row],[Date]],Table3[[Date]:[Sunset Time (POA&lt;20 W/m2)]],3,0),"")</f>
        <v>0.25833333333333336</v>
      </c>
      <c r="J125" s="75">
        <f>IFERROR(VLOOKUP(Table1[[#This Row],[Date]],Table3[[Date]:[Sunset Time (POA&lt;20 W/m2)]],4,0),"")</f>
        <v>0.76875000000000004</v>
      </c>
      <c r="K125" s="76">
        <f>IFERROR((Table1[[#This Row],[Sunset Time (POA&lt;20 W/m2)]]-Table1[[#This Row],[Sunrise Time (POA&gt;20 W/m2)]])*24,"")</f>
        <v>12.250000000000002</v>
      </c>
      <c r="L125" s="107" t="s">
        <v>231</v>
      </c>
      <c r="M125" s="61">
        <f>VLOOKUP(Table1[[#This Row],[Affceted Equipment]],'Basic Data'!$A$2:$C$818,2,0)</f>
        <v>669.6</v>
      </c>
      <c r="N125" s="92">
        <f>IFERROR(VLOOKUP(Table1[[#This Row],[Affceted Equipment]],'Basic Data'!$A$2:$C$818,3,0),"")</f>
        <v>8.348190352703562E-2</v>
      </c>
      <c r="O125" s="115" t="s">
        <v>323</v>
      </c>
      <c r="P125" s="93" t="s">
        <v>1088</v>
      </c>
      <c r="Q125" s="93"/>
      <c r="R125" s="93" t="s">
        <v>1088</v>
      </c>
      <c r="S125" s="91">
        <v>0.55694444444444446</v>
      </c>
      <c r="T125" s="116"/>
      <c r="U125" s="116"/>
      <c r="V125" s="91">
        <v>0.56041666666666667</v>
      </c>
      <c r="W125" s="88">
        <f>IF(Table1[[#This Row],[Acknowledgemnet Time ]]="NA","",(Table1[[#This Row],[Acknowledgemnet Time ]]-Table1[[#This Row],[Fault Time]])*24)</f>
        <v>-13.366666666666667</v>
      </c>
      <c r="X125" s="88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89">
        <f>IFERROR(Table1[[#This Row],[Breakdown Time]]*Table1[[#This Row],[Plant Equivalent Weightage]],"")</f>
        <v>6.9568252939196107E-3</v>
      </c>
      <c r="AD125" s="2">
        <v>0.09</v>
      </c>
      <c r="AE125" s="88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4">
        <f>YEAR(Table1[[#This Row],[Date]])+IF(MONTH(Table1[[#This Row],[Date]])&gt;=4,1,0)</f>
        <v>2026</v>
      </c>
      <c r="C126" s="73">
        <f>YEAR(Table1[[#This Row],[Date]])</f>
        <v>2025</v>
      </c>
      <c r="D126" s="73" t="s">
        <v>1082</v>
      </c>
      <c r="E126" s="73" t="s">
        <v>1082</v>
      </c>
      <c r="F126" s="170">
        <f>Table1[[#This Row],[Date]]-DAY(Table1[[#This Row],[Date]])+1</f>
        <v>45748</v>
      </c>
      <c r="G126">
        <f>DAY(EOMONTH(Table1[[#This Row],[Month Year]],0))</f>
        <v>30</v>
      </c>
      <c r="H126" s="103">
        <v>45752</v>
      </c>
      <c r="I126" s="75">
        <f>IFERROR(VLOOKUP(Table1[[#This Row],[Date]],Table3[[Date]:[Sunset Time (POA&lt;20 W/m2)]],3,0),"")</f>
        <v>0.25833333333333336</v>
      </c>
      <c r="J126" s="75">
        <f>IFERROR(VLOOKUP(Table1[[#This Row],[Date]],Table3[[Date]:[Sunset Time (POA&lt;20 W/m2)]],4,0),"")</f>
        <v>0.76875000000000004</v>
      </c>
      <c r="K126" s="76">
        <f>IFERROR((Table1[[#This Row],[Sunset Time (POA&lt;20 W/m2)]]-Table1[[#This Row],[Sunrise Time (POA&gt;20 W/m2)]])*24,"")</f>
        <v>12.250000000000002</v>
      </c>
      <c r="L126" s="107" t="s">
        <v>232</v>
      </c>
      <c r="M126" s="61">
        <f>VLOOKUP(Table1[[#This Row],[Affceted Equipment]],'Basic Data'!$A$2:$C$818,2,0)</f>
        <v>669.6</v>
      </c>
      <c r="N126" s="92">
        <f>IFERROR(VLOOKUP(Table1[[#This Row],[Affceted Equipment]],'Basic Data'!$A$2:$C$818,3,0),"")</f>
        <v>8.348190352703562E-2</v>
      </c>
      <c r="O126" s="115" t="s">
        <v>323</v>
      </c>
      <c r="P126" s="93" t="s">
        <v>1090</v>
      </c>
      <c r="Q126" s="93"/>
      <c r="R126" s="93" t="s">
        <v>1090</v>
      </c>
      <c r="S126" s="91">
        <v>0.55694444444444446</v>
      </c>
      <c r="T126" s="116"/>
      <c r="U126" s="116"/>
      <c r="V126" s="91">
        <v>0.56041666666666667</v>
      </c>
      <c r="W126" s="88">
        <f>IF(Table1[[#This Row],[Acknowledgemnet Time ]]="NA","",(Table1[[#This Row],[Acknowledgemnet Time ]]-Table1[[#This Row],[Fault Time]])*24)</f>
        <v>-13.366666666666667</v>
      </c>
      <c r="X126" s="88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89">
        <f>IFERROR(Table1[[#This Row],[Breakdown Time]]*Table1[[#This Row],[Plant Equivalent Weightage]],"")</f>
        <v>6.9568252939196107E-3</v>
      </c>
      <c r="AD126" s="2">
        <v>0.09</v>
      </c>
      <c r="AE126" s="88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4">
        <f>YEAR(Table1[[#This Row],[Date]])+IF(MONTH(Table1[[#This Row],[Date]])&gt;=4,1,0)</f>
        <v>2026</v>
      </c>
      <c r="C127" s="73">
        <f>YEAR(Table1[[#This Row],[Date]])</f>
        <v>2025</v>
      </c>
      <c r="D127" s="73" t="s">
        <v>1082</v>
      </c>
      <c r="E127" s="73" t="s">
        <v>1082</v>
      </c>
      <c r="F127" s="170">
        <f>Table1[[#This Row],[Date]]-DAY(Table1[[#This Row],[Date]])+1</f>
        <v>45748</v>
      </c>
      <c r="G127">
        <f>DAY(EOMONTH(Table1[[#This Row],[Month Year]],0))</f>
        <v>30</v>
      </c>
      <c r="H127" s="103">
        <v>45752</v>
      </c>
      <c r="I127" s="75">
        <f>IFERROR(VLOOKUP(Table1[[#This Row],[Date]],Table3[[Date]:[Sunset Time (POA&lt;20 W/m2)]],3,0),"")</f>
        <v>0.25833333333333336</v>
      </c>
      <c r="J127" s="75">
        <f>IFERROR(VLOOKUP(Table1[[#This Row],[Date]],Table3[[Date]:[Sunset Time (POA&lt;20 W/m2)]],4,0),"")</f>
        <v>0.76875000000000004</v>
      </c>
      <c r="K127" s="76">
        <f>IFERROR((Table1[[#This Row],[Sunset Time (POA&lt;20 W/m2)]]-Table1[[#This Row],[Sunrise Time (POA&gt;20 W/m2)]])*24,"")</f>
        <v>12.250000000000002</v>
      </c>
      <c r="L127" s="107" t="s">
        <v>180</v>
      </c>
      <c r="M127" s="61">
        <f>VLOOKUP(Table1[[#This Row],[Affceted Equipment]],'Basic Data'!$A$2:$C$818,2,0)</f>
        <v>2694.6</v>
      </c>
      <c r="N127" s="92">
        <f>IFERROR(VLOOKUP(Table1[[#This Row],[Affceted Equipment]],'Basic Data'!$A$2:$C$818,3,0),"")</f>
        <v>0.33594733758057077</v>
      </c>
      <c r="O127" s="115" t="s">
        <v>323</v>
      </c>
      <c r="P127" s="93" t="s">
        <v>1089</v>
      </c>
      <c r="Q127" s="93"/>
      <c r="R127" s="93" t="s">
        <v>1089</v>
      </c>
      <c r="S127" s="91">
        <v>0.56041666666666667</v>
      </c>
      <c r="T127" s="116"/>
      <c r="U127" s="116"/>
      <c r="V127" s="91">
        <v>0.58263888888888893</v>
      </c>
      <c r="W127" s="88">
        <f>IF(Table1[[#This Row],[Acknowledgemnet Time ]]="NA","",(Table1[[#This Row],[Acknowledgemnet Time ]]-Table1[[#This Row],[Fault Time]])*24)</f>
        <v>-13.45</v>
      </c>
      <c r="X127" s="88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89">
        <f>IFERROR(Table1[[#This Row],[Breakdown Time]]*Table1[[#This Row],[Plant Equivalent Weightage]],"")</f>
        <v>0.17917191337630467</v>
      </c>
      <c r="AD127" s="2">
        <v>0.51</v>
      </c>
      <c r="AE127" s="88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4">
        <f>YEAR(Table1[[#This Row],[Date]])+IF(MONTH(Table1[[#This Row],[Date]])&gt;=4,1,0)</f>
        <v>2026</v>
      </c>
      <c r="C128" s="73">
        <f>YEAR(Table1[[#This Row],[Date]])</f>
        <v>2025</v>
      </c>
      <c r="D128" s="73" t="s">
        <v>1082</v>
      </c>
      <c r="E128" s="73" t="s">
        <v>1082</v>
      </c>
      <c r="F128" s="170">
        <f>Table1[[#This Row],[Date]]-DAY(Table1[[#This Row],[Date]])+1</f>
        <v>45748</v>
      </c>
      <c r="G128">
        <f>DAY(EOMONTH(Table1[[#This Row],[Month Year]],0))</f>
        <v>30</v>
      </c>
      <c r="H128" s="103">
        <v>45752</v>
      </c>
      <c r="I128" s="75">
        <f>IFERROR(VLOOKUP(Table1[[#This Row],[Date]],Table3[[Date]:[Sunset Time (POA&lt;20 W/m2)]],3,0),"")</f>
        <v>0.25833333333333336</v>
      </c>
      <c r="J128" s="75">
        <f>IFERROR(VLOOKUP(Table1[[#This Row],[Date]],Table3[[Date]:[Sunset Time (POA&lt;20 W/m2)]],4,0),"")</f>
        <v>0.76875000000000004</v>
      </c>
      <c r="K128" s="76">
        <f>IFERROR((Table1[[#This Row],[Sunset Time (POA&lt;20 W/m2)]]-Table1[[#This Row],[Sunrise Time (POA&gt;20 W/m2)]])*24,"")</f>
        <v>12.250000000000002</v>
      </c>
      <c r="L128" s="107" t="s">
        <v>231</v>
      </c>
      <c r="M128" s="61">
        <f>VLOOKUP(Table1[[#This Row],[Affceted Equipment]],'Basic Data'!$A$2:$C$818,2,0)</f>
        <v>669.6</v>
      </c>
      <c r="N128" s="92">
        <f>IFERROR(VLOOKUP(Table1[[#This Row],[Affceted Equipment]],'Basic Data'!$A$2:$C$818,3,0),"")</f>
        <v>8.348190352703562E-2</v>
      </c>
      <c r="O128" s="115" t="s">
        <v>323</v>
      </c>
      <c r="P128" s="93" t="s">
        <v>1088</v>
      </c>
      <c r="Q128" s="93"/>
      <c r="R128" s="93" t="s">
        <v>1088</v>
      </c>
      <c r="S128" s="91">
        <v>0.58263888888888893</v>
      </c>
      <c r="T128" s="116"/>
      <c r="U128" s="116"/>
      <c r="V128" s="91">
        <v>0.59097222222222223</v>
      </c>
      <c r="W128" s="88">
        <f>IF(Table1[[#This Row],[Acknowledgemnet Time ]]="NA","",(Table1[[#This Row],[Acknowledgemnet Time ]]-Table1[[#This Row],[Fault Time]])*24)</f>
        <v>-13.983333333333334</v>
      </c>
      <c r="X128" s="88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89">
        <f>IFERROR(Table1[[#This Row],[Breakdown Time]]*Table1[[#This Row],[Plant Equivalent Weightage]],"")</f>
        <v>1.6696380705407066E-2</v>
      </c>
      <c r="AD128" s="2">
        <v>0.19</v>
      </c>
      <c r="AE128" s="88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4">
        <f>YEAR(Table1[[#This Row],[Date]])+IF(MONTH(Table1[[#This Row],[Date]])&gt;=4,1,0)</f>
        <v>2026</v>
      </c>
      <c r="C129" s="73">
        <f>YEAR(Table1[[#This Row],[Date]])</f>
        <v>2025</v>
      </c>
      <c r="D129" s="73" t="s">
        <v>1082</v>
      </c>
      <c r="E129" s="73" t="s">
        <v>1082</v>
      </c>
      <c r="F129" s="170">
        <f>Table1[[#This Row],[Date]]-DAY(Table1[[#This Row],[Date]])+1</f>
        <v>45748</v>
      </c>
      <c r="G129">
        <f>DAY(EOMONTH(Table1[[#This Row],[Month Year]],0))</f>
        <v>30</v>
      </c>
      <c r="H129" s="103">
        <v>45752</v>
      </c>
      <c r="I129" s="75">
        <f>IFERROR(VLOOKUP(Table1[[#This Row],[Date]],Table3[[Date]:[Sunset Time (POA&lt;20 W/m2)]],3,0),"")</f>
        <v>0.25833333333333336</v>
      </c>
      <c r="J129" s="75">
        <f>IFERROR(VLOOKUP(Table1[[#This Row],[Date]],Table3[[Date]:[Sunset Time (POA&lt;20 W/m2)]],4,0),"")</f>
        <v>0.76875000000000004</v>
      </c>
      <c r="K129" s="76">
        <f>IFERROR((Table1[[#This Row],[Sunset Time (POA&lt;20 W/m2)]]-Table1[[#This Row],[Sunrise Time (POA&gt;20 W/m2)]])*24,"")</f>
        <v>12.250000000000002</v>
      </c>
      <c r="L129" s="107" t="s">
        <v>232</v>
      </c>
      <c r="M129" s="61">
        <f>VLOOKUP(Table1[[#This Row],[Affceted Equipment]],'Basic Data'!$A$2:$C$818,2,0)</f>
        <v>669.6</v>
      </c>
      <c r="N129" s="92">
        <f>IFERROR(VLOOKUP(Table1[[#This Row],[Affceted Equipment]],'Basic Data'!$A$2:$C$818,3,0),"")</f>
        <v>8.348190352703562E-2</v>
      </c>
      <c r="O129" s="115" t="s">
        <v>323</v>
      </c>
      <c r="P129" s="93" t="s">
        <v>1090</v>
      </c>
      <c r="Q129" s="93"/>
      <c r="R129" s="93" t="s">
        <v>1090</v>
      </c>
      <c r="S129" s="91">
        <v>0.58263888888888893</v>
      </c>
      <c r="T129" s="116"/>
      <c r="U129" s="116"/>
      <c r="V129" s="91">
        <v>0.59097222222222223</v>
      </c>
      <c r="W129" s="88">
        <f>IF(Table1[[#This Row],[Acknowledgemnet Time ]]="NA","",(Table1[[#This Row],[Acknowledgemnet Time ]]-Table1[[#This Row],[Fault Time]])*24)</f>
        <v>-13.983333333333334</v>
      </c>
      <c r="X129" s="88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89">
        <f>IFERROR(Table1[[#This Row],[Breakdown Time]]*Table1[[#This Row],[Plant Equivalent Weightage]],"")</f>
        <v>1.6696380705407066E-2</v>
      </c>
      <c r="AD129" s="2">
        <v>0.19</v>
      </c>
      <c r="AE129" s="88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4">
        <f>YEAR(Table1[[#This Row],[Date]])+IF(MONTH(Table1[[#This Row],[Date]])&gt;=4,1,0)</f>
        <v>2026</v>
      </c>
      <c r="C130" s="73">
        <f>YEAR(Table1[[#This Row],[Date]])</f>
        <v>2025</v>
      </c>
      <c r="D130" s="73" t="s">
        <v>1082</v>
      </c>
      <c r="E130" s="73" t="s">
        <v>1082</v>
      </c>
      <c r="F130" s="170">
        <f>Table1[[#This Row],[Date]]-DAY(Table1[[#This Row],[Date]])+1</f>
        <v>45748</v>
      </c>
      <c r="G130">
        <f>DAY(EOMONTH(Table1[[#This Row],[Month Year]],0))</f>
        <v>30</v>
      </c>
      <c r="H130" s="103">
        <v>45752</v>
      </c>
      <c r="I130" s="75">
        <f>IFERROR(VLOOKUP(Table1[[#This Row],[Date]],Table3[[Date]:[Sunset Time (POA&lt;20 W/m2)]],3,0),"")</f>
        <v>0.25833333333333336</v>
      </c>
      <c r="J130" s="75">
        <f>IFERROR(VLOOKUP(Table1[[#This Row],[Date]],Table3[[Date]:[Sunset Time (POA&lt;20 W/m2)]],4,0),"")</f>
        <v>0.76875000000000004</v>
      </c>
      <c r="K130" s="76">
        <f>IFERROR((Table1[[#This Row],[Sunset Time (POA&lt;20 W/m2)]]-Table1[[#This Row],[Sunrise Time (POA&gt;20 W/m2)]])*24,"")</f>
        <v>12.250000000000002</v>
      </c>
      <c r="L130" s="107" t="s">
        <v>180</v>
      </c>
      <c r="M130" s="61">
        <f>VLOOKUP(Table1[[#This Row],[Affceted Equipment]],'Basic Data'!$A$2:$C$818,2,0)</f>
        <v>2694.6</v>
      </c>
      <c r="N130" s="92">
        <f>IFERROR(VLOOKUP(Table1[[#This Row],[Affceted Equipment]],'Basic Data'!$A$2:$C$818,3,0),"")</f>
        <v>0.33594733758057077</v>
      </c>
      <c r="O130" s="115" t="s">
        <v>323</v>
      </c>
      <c r="P130" s="93" t="s">
        <v>1089</v>
      </c>
      <c r="Q130" s="93"/>
      <c r="R130" s="93" t="s">
        <v>1089</v>
      </c>
      <c r="S130" s="91">
        <v>0.59097222222222223</v>
      </c>
      <c r="T130" s="116"/>
      <c r="U130" s="116"/>
      <c r="V130" s="91">
        <v>0.59861111111111109</v>
      </c>
      <c r="W130" s="88">
        <f>IF(Table1[[#This Row],[Acknowledgemnet Time ]]="NA","",(Table1[[#This Row],[Acknowledgemnet Time ]]-Table1[[#This Row],[Fault Time]])*24)</f>
        <v>-14.183333333333334</v>
      </c>
      <c r="X130" s="88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89">
        <f>IFERROR(Table1[[#This Row],[Breakdown Time]]*Table1[[#This Row],[Plant Equivalent Weightage]],"")</f>
        <v>6.1590345223104422E-2</v>
      </c>
      <c r="AD130" s="2">
        <v>0.17</v>
      </c>
      <c r="AE130" s="88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4">
        <f>YEAR(Table1[[#This Row],[Date]])+IF(MONTH(Table1[[#This Row],[Date]])&gt;=4,1,0)</f>
        <v>2026</v>
      </c>
      <c r="C131" s="73">
        <f>YEAR(Table1[[#This Row],[Date]])</f>
        <v>2025</v>
      </c>
      <c r="D131" s="73" t="s">
        <v>1082</v>
      </c>
      <c r="E131" s="73" t="s">
        <v>1082</v>
      </c>
      <c r="F131" s="170">
        <f>Table1[[#This Row],[Date]]-DAY(Table1[[#This Row],[Date]])+1</f>
        <v>45748</v>
      </c>
      <c r="G131">
        <f>DAY(EOMONTH(Table1[[#This Row],[Month Year]],0))</f>
        <v>30</v>
      </c>
      <c r="H131" s="103">
        <v>45752</v>
      </c>
      <c r="I131" s="75">
        <f>IFERROR(VLOOKUP(Table1[[#This Row],[Date]],Table3[[Date]:[Sunset Time (POA&lt;20 W/m2)]],3,0),"")</f>
        <v>0.25833333333333336</v>
      </c>
      <c r="J131" s="75">
        <f>IFERROR(VLOOKUP(Table1[[#This Row],[Date]],Table3[[Date]:[Sunset Time (POA&lt;20 W/m2)]],4,0),"")</f>
        <v>0.76875000000000004</v>
      </c>
      <c r="K131" s="76">
        <f>IFERROR((Table1[[#This Row],[Sunset Time (POA&lt;20 W/m2)]]-Table1[[#This Row],[Sunrise Time (POA&gt;20 W/m2)]])*24,"")</f>
        <v>12.250000000000002</v>
      </c>
      <c r="L131" s="107" t="s">
        <v>231</v>
      </c>
      <c r="M131" s="90">
        <f>VLOOKUP(Table1[[#This Row],[Affceted Equipment]],'Basic Data'!$A$2:$C$818,2,0)</f>
        <v>669.6</v>
      </c>
      <c r="N131" s="92">
        <f>IFERROR(VLOOKUP(Table1[[#This Row],[Affceted Equipment]],'Basic Data'!$A$2:$C$818,3,0),"")</f>
        <v>8.348190352703562E-2</v>
      </c>
      <c r="O131" s="115" t="s">
        <v>323</v>
      </c>
      <c r="P131" s="93" t="s">
        <v>1088</v>
      </c>
      <c r="Q131" s="93"/>
      <c r="R131" s="93" t="s">
        <v>1088</v>
      </c>
      <c r="S131" s="91">
        <v>0.59861111111111109</v>
      </c>
      <c r="T131" s="116"/>
      <c r="U131" s="116"/>
      <c r="V131" s="91">
        <v>0.60277777777777775</v>
      </c>
      <c r="W131" s="88">
        <f>IF(Table1[[#This Row],[Acknowledgemnet Time ]]="NA","",(Table1[[#This Row],[Acknowledgemnet Time ]]-Table1[[#This Row],[Fault Time]])*24)</f>
        <v>-14.366666666666667</v>
      </c>
      <c r="X131" s="88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89">
        <f>IFERROR(Table1[[#This Row],[Breakdown Time]]*Table1[[#This Row],[Plant Equivalent Weightage]],"")</f>
        <v>8.3481903527035332E-3</v>
      </c>
      <c r="AD131" s="2">
        <v>0.1</v>
      </c>
      <c r="AE131" s="88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4">
        <f>YEAR(Table1[[#This Row],[Date]])+IF(MONTH(Table1[[#This Row],[Date]])&gt;=4,1,0)</f>
        <v>2026</v>
      </c>
      <c r="C132" s="73">
        <f>YEAR(Table1[[#This Row],[Date]])</f>
        <v>2025</v>
      </c>
      <c r="D132" s="73" t="s">
        <v>1082</v>
      </c>
      <c r="E132" s="73" t="s">
        <v>1082</v>
      </c>
      <c r="F132" s="170">
        <f>Table1[[#This Row],[Date]]-DAY(Table1[[#This Row],[Date]])+1</f>
        <v>45748</v>
      </c>
      <c r="G132">
        <f>DAY(EOMONTH(Table1[[#This Row],[Month Year]],0))</f>
        <v>30</v>
      </c>
      <c r="H132" s="103">
        <v>45752</v>
      </c>
      <c r="I132" s="75">
        <f>IFERROR(VLOOKUP(Table1[[#This Row],[Date]],Table3[[Date]:[Sunset Time (POA&lt;20 W/m2)]],3,0),"")</f>
        <v>0.25833333333333336</v>
      </c>
      <c r="J132" s="75">
        <f>IFERROR(VLOOKUP(Table1[[#This Row],[Date]],Table3[[Date]:[Sunset Time (POA&lt;20 W/m2)]],4,0),"")</f>
        <v>0.76875000000000004</v>
      </c>
      <c r="K132" s="76">
        <f>IFERROR((Table1[[#This Row],[Sunset Time (POA&lt;20 W/m2)]]-Table1[[#This Row],[Sunrise Time (POA&gt;20 W/m2)]])*24,"")</f>
        <v>12.250000000000002</v>
      </c>
      <c r="L132" s="107" t="s">
        <v>232</v>
      </c>
      <c r="M132" s="61">
        <f>VLOOKUP(Table1[[#This Row],[Affceted Equipment]],'Basic Data'!$A$2:$C$818,2,0)</f>
        <v>669.6</v>
      </c>
      <c r="N132" s="92">
        <f>IFERROR(VLOOKUP(Table1[[#This Row],[Affceted Equipment]],'Basic Data'!$A$2:$C$818,3,0),"")</f>
        <v>8.348190352703562E-2</v>
      </c>
      <c r="O132" s="115" t="s">
        <v>323</v>
      </c>
      <c r="P132" s="93" t="s">
        <v>1090</v>
      </c>
      <c r="Q132" s="93"/>
      <c r="R132" s="93" t="s">
        <v>1090</v>
      </c>
      <c r="S132" s="91">
        <v>0.59861111111111109</v>
      </c>
      <c r="T132" s="116"/>
      <c r="U132" s="116"/>
      <c r="V132" s="91">
        <v>0.60277777777777775</v>
      </c>
      <c r="W132" s="88">
        <f>IF(Table1[[#This Row],[Acknowledgemnet Time ]]="NA","",(Table1[[#This Row],[Acknowledgemnet Time ]]-Table1[[#This Row],[Fault Time]])*24)</f>
        <v>-14.366666666666667</v>
      </c>
      <c r="X132" s="88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89">
        <f>IFERROR(Table1[[#This Row],[Breakdown Time]]*Table1[[#This Row],[Plant Equivalent Weightage]],"")</f>
        <v>8.3481903527035332E-3</v>
      </c>
      <c r="AD132" s="2">
        <v>0.1</v>
      </c>
      <c r="AE132" s="88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4">
        <f>YEAR(Table1[[#This Row],[Date]])+IF(MONTH(Table1[[#This Row],[Date]])&gt;=4,1,0)</f>
        <v>2026</v>
      </c>
      <c r="C133" s="73">
        <f>YEAR(Table1[[#This Row],[Date]])</f>
        <v>2025</v>
      </c>
      <c r="D133" s="73" t="s">
        <v>1082</v>
      </c>
      <c r="E133" s="73" t="s">
        <v>1082</v>
      </c>
      <c r="F133" s="170">
        <f>Table1[[#This Row],[Date]]-DAY(Table1[[#This Row],[Date]])+1</f>
        <v>45748</v>
      </c>
      <c r="G133">
        <f>DAY(EOMONTH(Table1[[#This Row],[Month Year]],0))</f>
        <v>30</v>
      </c>
      <c r="H133" s="103">
        <v>45752</v>
      </c>
      <c r="I133" s="75">
        <f>IFERROR(VLOOKUP(Table1[[#This Row],[Date]],Table3[[Date]:[Sunset Time (POA&lt;20 W/m2)]],3,0),"")</f>
        <v>0.25833333333333336</v>
      </c>
      <c r="J133" s="75">
        <f>IFERROR(VLOOKUP(Table1[[#This Row],[Date]],Table3[[Date]:[Sunset Time (POA&lt;20 W/m2)]],4,0),"")</f>
        <v>0.76875000000000004</v>
      </c>
      <c r="K133" s="76">
        <f>IFERROR((Table1[[#This Row],[Sunset Time (POA&lt;20 W/m2)]]-Table1[[#This Row],[Sunrise Time (POA&gt;20 W/m2)]])*24,"")</f>
        <v>12.250000000000002</v>
      </c>
      <c r="L133" s="107" t="s">
        <v>180</v>
      </c>
      <c r="M133" s="90">
        <f>VLOOKUP(Table1[[#This Row],[Affceted Equipment]],'Basic Data'!$A$2:$C$818,2,0)</f>
        <v>2694.6</v>
      </c>
      <c r="N133" s="92">
        <f>IFERROR(VLOOKUP(Table1[[#This Row],[Affceted Equipment]],'Basic Data'!$A$2:$C$818,3,0),"")</f>
        <v>0.33594733758057077</v>
      </c>
      <c r="O133" s="115" t="s">
        <v>323</v>
      </c>
      <c r="P133" s="93" t="s">
        <v>1089</v>
      </c>
      <c r="Q133" s="93"/>
      <c r="R133" s="93" t="s">
        <v>1089</v>
      </c>
      <c r="S133" s="91">
        <v>0.60277777777777775</v>
      </c>
      <c r="T133" s="116"/>
      <c r="U133" s="116"/>
      <c r="V133" s="91">
        <v>0.60833333333333328</v>
      </c>
      <c r="W133" s="88">
        <f>IF(Table1[[#This Row],[Acknowledgemnet Time ]]="NA","",(Table1[[#This Row],[Acknowledgemnet Time ]]-Table1[[#This Row],[Fault Time]])*24)</f>
        <v>-14.466666666666665</v>
      </c>
      <c r="X133" s="88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89">
        <f>IFERROR(Table1[[#This Row],[Breakdown Time]]*Table1[[#This Row],[Plant Equivalent Weightage]],"")</f>
        <v>4.4792978344075945E-2</v>
      </c>
      <c r="AD133" s="2">
        <v>0.12</v>
      </c>
      <c r="AE133" s="88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4">
        <f>YEAR(Table1[[#This Row],[Date]])+IF(MONTH(Table1[[#This Row],[Date]])&gt;=4,1,0)</f>
        <v>2026</v>
      </c>
      <c r="C134" s="73">
        <f>YEAR(Table1[[#This Row],[Date]])</f>
        <v>2025</v>
      </c>
      <c r="D134" s="73" t="s">
        <v>1082</v>
      </c>
      <c r="E134" s="73" t="s">
        <v>1082</v>
      </c>
      <c r="F134" s="170">
        <f>Table1[[#This Row],[Date]]-DAY(Table1[[#This Row],[Date]])+1</f>
        <v>45748</v>
      </c>
      <c r="G134">
        <f>DAY(EOMONTH(Table1[[#This Row],[Month Year]],0))</f>
        <v>30</v>
      </c>
      <c r="H134" s="103">
        <v>45752</v>
      </c>
      <c r="I134" s="75">
        <f>IFERROR(VLOOKUP(Table1[[#This Row],[Date]],Table3[[Date]:[Sunset Time (POA&lt;20 W/m2)]],3,0),"")</f>
        <v>0.25833333333333336</v>
      </c>
      <c r="J134" s="75">
        <f>IFERROR(VLOOKUP(Table1[[#This Row],[Date]],Table3[[Date]:[Sunset Time (POA&lt;20 W/m2)]],4,0),"")</f>
        <v>0.76875000000000004</v>
      </c>
      <c r="K134" s="76">
        <f>IFERROR((Table1[[#This Row],[Sunset Time (POA&lt;20 W/m2)]]-Table1[[#This Row],[Sunrise Time (POA&gt;20 W/m2)]])*24,"")</f>
        <v>12.250000000000002</v>
      </c>
      <c r="L134" s="107" t="s">
        <v>231</v>
      </c>
      <c r="M134" s="61">
        <f>VLOOKUP(Table1[[#This Row],[Affceted Equipment]],'Basic Data'!$A$2:$C$818,2,0)</f>
        <v>669.6</v>
      </c>
      <c r="N134" s="92">
        <f>IFERROR(VLOOKUP(Table1[[#This Row],[Affceted Equipment]],'Basic Data'!$A$2:$C$818,3,0),"")</f>
        <v>8.348190352703562E-2</v>
      </c>
      <c r="O134" s="115" t="s">
        <v>323</v>
      </c>
      <c r="P134" s="93" t="s">
        <v>1088</v>
      </c>
      <c r="Q134" s="93"/>
      <c r="R134" s="93" t="s">
        <v>1088</v>
      </c>
      <c r="S134" s="91">
        <v>0.60833333333333328</v>
      </c>
      <c r="T134" s="116"/>
      <c r="U134" s="116"/>
      <c r="V134" s="91">
        <v>0.61458333333333337</v>
      </c>
      <c r="W134" s="88">
        <f>IF(Table1[[#This Row],[Acknowledgemnet Time ]]="NA","",(Table1[[#This Row],[Acknowledgemnet Time ]]-Table1[[#This Row],[Fault Time]])*24)</f>
        <v>-14.599999999999998</v>
      </c>
      <c r="X134" s="88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89">
        <f>IFERROR(Table1[[#This Row],[Breakdown Time]]*Table1[[#This Row],[Plant Equivalent Weightage]],"")</f>
        <v>1.2522285529055521E-2</v>
      </c>
      <c r="AD134" s="2">
        <v>0.13</v>
      </c>
      <c r="AE134" s="88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4">
        <f>YEAR(Table1[[#This Row],[Date]])+IF(MONTH(Table1[[#This Row],[Date]])&gt;=4,1,0)</f>
        <v>2026</v>
      </c>
      <c r="C135" s="73">
        <f>YEAR(Table1[[#This Row],[Date]])</f>
        <v>2025</v>
      </c>
      <c r="D135" s="73" t="s">
        <v>1082</v>
      </c>
      <c r="E135" s="73" t="s">
        <v>1082</v>
      </c>
      <c r="F135" s="170">
        <f>Table1[[#This Row],[Date]]-DAY(Table1[[#This Row],[Date]])+1</f>
        <v>45748</v>
      </c>
      <c r="G135">
        <f>DAY(EOMONTH(Table1[[#This Row],[Month Year]],0))</f>
        <v>30</v>
      </c>
      <c r="H135" s="103">
        <v>45752</v>
      </c>
      <c r="I135" s="75">
        <f>IFERROR(VLOOKUP(Table1[[#This Row],[Date]],Table3[[Date]:[Sunset Time (POA&lt;20 W/m2)]],3,0),"")</f>
        <v>0.25833333333333336</v>
      </c>
      <c r="J135" s="75">
        <f>IFERROR(VLOOKUP(Table1[[#This Row],[Date]],Table3[[Date]:[Sunset Time (POA&lt;20 W/m2)]],4,0),"")</f>
        <v>0.76875000000000004</v>
      </c>
      <c r="K135" s="76">
        <f>IFERROR((Table1[[#This Row],[Sunset Time (POA&lt;20 W/m2)]]-Table1[[#This Row],[Sunrise Time (POA&gt;20 W/m2)]])*24,"")</f>
        <v>12.250000000000002</v>
      </c>
      <c r="L135" s="107" t="s">
        <v>232</v>
      </c>
      <c r="M135" s="90">
        <f>VLOOKUP(Table1[[#This Row],[Affceted Equipment]],'Basic Data'!$A$2:$C$818,2,0)</f>
        <v>669.6</v>
      </c>
      <c r="N135" s="92">
        <f>IFERROR(VLOOKUP(Table1[[#This Row],[Affceted Equipment]],'Basic Data'!$A$2:$C$818,3,0),"")</f>
        <v>8.348190352703562E-2</v>
      </c>
      <c r="O135" s="115" t="s">
        <v>323</v>
      </c>
      <c r="P135" s="93" t="s">
        <v>1090</v>
      </c>
      <c r="Q135" s="93"/>
      <c r="R135" s="93" t="s">
        <v>1090</v>
      </c>
      <c r="S135" s="91">
        <v>0.60833333333333328</v>
      </c>
      <c r="T135" s="116"/>
      <c r="U135" s="116"/>
      <c r="V135" s="91">
        <v>0.61458333333333337</v>
      </c>
      <c r="W135" s="88">
        <f>IF(Table1[[#This Row],[Acknowledgemnet Time ]]="NA","",(Table1[[#This Row],[Acknowledgemnet Time ]]-Table1[[#This Row],[Fault Time]])*24)</f>
        <v>-14.599999999999998</v>
      </c>
      <c r="X135" s="88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89">
        <f>IFERROR(Table1[[#This Row],[Breakdown Time]]*Table1[[#This Row],[Plant Equivalent Weightage]],"")</f>
        <v>1.2522285529055521E-2</v>
      </c>
      <c r="AD135" s="2">
        <v>0.13</v>
      </c>
      <c r="AE135" s="88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4">
        <f>YEAR(Table1[[#This Row],[Date]])+IF(MONTH(Table1[[#This Row],[Date]])&gt;=4,1,0)</f>
        <v>2026</v>
      </c>
      <c r="C136" s="73">
        <f>YEAR(Table1[[#This Row],[Date]])</f>
        <v>2025</v>
      </c>
      <c r="D136" s="73" t="s">
        <v>1082</v>
      </c>
      <c r="E136" s="73" t="s">
        <v>1082</v>
      </c>
      <c r="F136" s="170">
        <f>Table1[[#This Row],[Date]]-DAY(Table1[[#This Row],[Date]])+1</f>
        <v>45748</v>
      </c>
      <c r="G136">
        <f>DAY(EOMONTH(Table1[[#This Row],[Month Year]],0))</f>
        <v>30</v>
      </c>
      <c r="H136" s="103">
        <v>45752</v>
      </c>
      <c r="I136" s="75">
        <f>IFERROR(VLOOKUP(Table1[[#This Row],[Date]],Table3[[Date]:[Sunset Time (POA&lt;20 W/m2)]],3,0),"")</f>
        <v>0.25833333333333336</v>
      </c>
      <c r="J136" s="75">
        <f>IFERROR(VLOOKUP(Table1[[#This Row],[Date]],Table3[[Date]:[Sunset Time (POA&lt;20 W/m2)]],4,0),"")</f>
        <v>0.76875000000000004</v>
      </c>
      <c r="K136" s="76">
        <f>IFERROR((Table1[[#This Row],[Sunset Time (POA&lt;20 W/m2)]]-Table1[[#This Row],[Sunrise Time (POA&gt;20 W/m2)]])*24,"")</f>
        <v>12.250000000000002</v>
      </c>
      <c r="L136" s="107" t="s">
        <v>180</v>
      </c>
      <c r="M136" s="90">
        <f>VLOOKUP(Table1[[#This Row],[Affceted Equipment]],'Basic Data'!$A$2:$C$818,2,0)</f>
        <v>2694.6</v>
      </c>
      <c r="N136" s="92">
        <f>IFERROR(VLOOKUP(Table1[[#This Row],[Affceted Equipment]],'Basic Data'!$A$2:$C$818,3,0),"")</f>
        <v>0.33594733758057077</v>
      </c>
      <c r="O136" s="115" t="s">
        <v>323</v>
      </c>
      <c r="P136" s="93" t="s">
        <v>1089</v>
      </c>
      <c r="Q136" s="93"/>
      <c r="R136" s="93" t="s">
        <v>1089</v>
      </c>
      <c r="S136" s="91">
        <v>0.61458333333333337</v>
      </c>
      <c r="T136" s="116"/>
      <c r="U136" s="116"/>
      <c r="V136" s="91">
        <v>0.62222222222222223</v>
      </c>
      <c r="W136" s="88">
        <f>IF(Table1[[#This Row],[Acknowledgemnet Time ]]="NA","",(Table1[[#This Row],[Acknowledgemnet Time ]]-Table1[[#This Row],[Fault Time]])*24)</f>
        <v>-14.75</v>
      </c>
      <c r="X136" s="88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89">
        <f>IFERROR(Table1[[#This Row],[Breakdown Time]]*Table1[[#This Row],[Plant Equivalent Weightage]],"")</f>
        <v>6.1590345223104422E-2</v>
      </c>
      <c r="AD136" s="2">
        <v>0.16</v>
      </c>
      <c r="AE136" s="88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4">
        <f>YEAR(Table1[[#This Row],[Date]])+IF(MONTH(Table1[[#This Row],[Date]])&gt;=4,1,0)</f>
        <v>2026</v>
      </c>
      <c r="C137" s="73">
        <f>YEAR(Table1[[#This Row],[Date]])</f>
        <v>2025</v>
      </c>
      <c r="D137" s="73" t="s">
        <v>1082</v>
      </c>
      <c r="E137" s="73" t="s">
        <v>1082</v>
      </c>
      <c r="F137" s="170">
        <f>Table1[[#This Row],[Date]]-DAY(Table1[[#This Row],[Date]])+1</f>
        <v>45748</v>
      </c>
      <c r="G137">
        <f>DAY(EOMONTH(Table1[[#This Row],[Month Year]],0))</f>
        <v>30</v>
      </c>
      <c r="H137" s="103">
        <v>45752</v>
      </c>
      <c r="I137" s="75">
        <f>IFERROR(VLOOKUP(Table1[[#This Row],[Date]],Table3[[Date]:[Sunset Time (POA&lt;20 W/m2)]],3,0),"")</f>
        <v>0.25833333333333336</v>
      </c>
      <c r="J137" s="75">
        <f>IFERROR(VLOOKUP(Table1[[#This Row],[Date]],Table3[[Date]:[Sunset Time (POA&lt;20 W/m2)]],4,0),"")</f>
        <v>0.76875000000000004</v>
      </c>
      <c r="K137" s="76">
        <f>IFERROR((Table1[[#This Row],[Sunset Time (POA&lt;20 W/m2)]]-Table1[[#This Row],[Sunrise Time (POA&gt;20 W/m2)]])*24,"")</f>
        <v>12.250000000000002</v>
      </c>
      <c r="L137" s="107" t="s">
        <v>231</v>
      </c>
      <c r="M137" s="90">
        <f>VLOOKUP(Table1[[#This Row],[Affceted Equipment]],'Basic Data'!$A$2:$C$818,2,0)</f>
        <v>669.6</v>
      </c>
      <c r="N137" s="92">
        <f>IFERROR(VLOOKUP(Table1[[#This Row],[Affceted Equipment]],'Basic Data'!$A$2:$C$818,3,0),"")</f>
        <v>8.348190352703562E-2</v>
      </c>
      <c r="O137" s="115" t="s">
        <v>323</v>
      </c>
      <c r="P137" s="93" t="s">
        <v>1088</v>
      </c>
      <c r="Q137" s="93"/>
      <c r="R137" s="93" t="s">
        <v>1088</v>
      </c>
      <c r="S137" s="91">
        <v>0.62222222222222223</v>
      </c>
      <c r="T137" s="116"/>
      <c r="U137" s="116"/>
      <c r="V137" s="91">
        <v>0.62986111111111109</v>
      </c>
      <c r="W137" s="88">
        <f>IF(Table1[[#This Row],[Acknowledgemnet Time ]]="NA","",(Table1[[#This Row],[Acknowledgemnet Time ]]-Table1[[#This Row],[Fault Time]])*24)</f>
        <v>-14.933333333333334</v>
      </c>
      <c r="X137" s="88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89">
        <f>IFERROR(Table1[[#This Row],[Breakdown Time]]*Table1[[#This Row],[Plant Equivalent Weightage]],"")</f>
        <v>1.5305015646623142E-2</v>
      </c>
      <c r="AD137" s="2">
        <v>0.15</v>
      </c>
      <c r="AE137" s="88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4">
        <f>YEAR(Table1[[#This Row],[Date]])+IF(MONTH(Table1[[#This Row],[Date]])&gt;=4,1,0)</f>
        <v>2026</v>
      </c>
      <c r="C138" s="73">
        <f>YEAR(Table1[[#This Row],[Date]])</f>
        <v>2025</v>
      </c>
      <c r="D138" s="73" t="s">
        <v>1082</v>
      </c>
      <c r="E138" s="73" t="s">
        <v>1082</v>
      </c>
      <c r="F138" s="170">
        <f>Table1[[#This Row],[Date]]-DAY(Table1[[#This Row],[Date]])+1</f>
        <v>45748</v>
      </c>
      <c r="G138">
        <f>DAY(EOMONTH(Table1[[#This Row],[Month Year]],0))</f>
        <v>30</v>
      </c>
      <c r="H138" s="103">
        <v>45752</v>
      </c>
      <c r="I138" s="75">
        <f>IFERROR(VLOOKUP(Table1[[#This Row],[Date]],Table3[[Date]:[Sunset Time (POA&lt;20 W/m2)]],3,0),"")</f>
        <v>0.25833333333333336</v>
      </c>
      <c r="J138" s="75">
        <f>IFERROR(VLOOKUP(Table1[[#This Row],[Date]],Table3[[Date]:[Sunset Time (POA&lt;20 W/m2)]],4,0),"")</f>
        <v>0.76875000000000004</v>
      </c>
      <c r="K138" s="76">
        <f>IFERROR((Table1[[#This Row],[Sunset Time (POA&lt;20 W/m2)]]-Table1[[#This Row],[Sunrise Time (POA&gt;20 W/m2)]])*24,"")</f>
        <v>12.250000000000002</v>
      </c>
      <c r="L138" s="107" t="s">
        <v>232</v>
      </c>
      <c r="M138" s="90">
        <f>VLOOKUP(Table1[[#This Row],[Affceted Equipment]],'Basic Data'!$A$2:$C$818,2,0)</f>
        <v>669.6</v>
      </c>
      <c r="N138" s="92">
        <f>IFERROR(VLOOKUP(Table1[[#This Row],[Affceted Equipment]],'Basic Data'!$A$2:$C$818,3,0),"")</f>
        <v>8.348190352703562E-2</v>
      </c>
      <c r="O138" s="115" t="s">
        <v>323</v>
      </c>
      <c r="P138" s="93" t="s">
        <v>1090</v>
      </c>
      <c r="Q138" s="93"/>
      <c r="R138" s="93" t="s">
        <v>1090</v>
      </c>
      <c r="S138" s="91">
        <v>0.62222222222222223</v>
      </c>
      <c r="T138" s="116"/>
      <c r="U138" s="116"/>
      <c r="V138" s="91">
        <v>0.62986111111111109</v>
      </c>
      <c r="W138" s="88">
        <f>IF(Table1[[#This Row],[Acknowledgemnet Time ]]="NA","",(Table1[[#This Row],[Acknowledgemnet Time ]]-Table1[[#This Row],[Fault Time]])*24)</f>
        <v>-14.933333333333334</v>
      </c>
      <c r="X138" s="88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89">
        <f>IFERROR(Table1[[#This Row],[Breakdown Time]]*Table1[[#This Row],[Plant Equivalent Weightage]],"")</f>
        <v>1.5305015646623142E-2</v>
      </c>
      <c r="AD138" s="2">
        <v>0.15</v>
      </c>
      <c r="AE138" s="88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4">
        <f>YEAR(Table1[[#This Row],[Date]])+IF(MONTH(Table1[[#This Row],[Date]])&gt;=4,1,0)</f>
        <v>2026</v>
      </c>
      <c r="C139" s="73">
        <f>YEAR(Table1[[#This Row],[Date]])</f>
        <v>2025</v>
      </c>
      <c r="D139" s="73" t="s">
        <v>1082</v>
      </c>
      <c r="E139" s="73" t="s">
        <v>1082</v>
      </c>
      <c r="F139" s="170">
        <f>Table1[[#This Row],[Date]]-DAY(Table1[[#This Row],[Date]])+1</f>
        <v>45748</v>
      </c>
      <c r="G139">
        <f>DAY(EOMONTH(Table1[[#This Row],[Month Year]],0))</f>
        <v>30</v>
      </c>
      <c r="H139" s="103">
        <v>45752</v>
      </c>
      <c r="I139" s="75">
        <f>IFERROR(VLOOKUP(Table1[[#This Row],[Date]],Table3[[Date]:[Sunset Time (POA&lt;20 W/m2)]],3,0),"")</f>
        <v>0.25833333333333336</v>
      </c>
      <c r="J139" s="75">
        <f>IFERROR(VLOOKUP(Table1[[#This Row],[Date]],Table3[[Date]:[Sunset Time (POA&lt;20 W/m2)]],4,0),"")</f>
        <v>0.76875000000000004</v>
      </c>
      <c r="K139" s="76">
        <f>IFERROR((Table1[[#This Row],[Sunset Time (POA&lt;20 W/m2)]]-Table1[[#This Row],[Sunrise Time (POA&gt;20 W/m2)]])*24,"")</f>
        <v>12.250000000000002</v>
      </c>
      <c r="L139" s="107" t="s">
        <v>180</v>
      </c>
      <c r="M139" s="90">
        <f>VLOOKUP(Table1[[#This Row],[Affceted Equipment]],'Basic Data'!$A$2:$C$818,2,0)</f>
        <v>2694.6</v>
      </c>
      <c r="N139" s="92">
        <f>IFERROR(VLOOKUP(Table1[[#This Row],[Affceted Equipment]],'Basic Data'!$A$2:$C$818,3,0),"")</f>
        <v>0.33594733758057077</v>
      </c>
      <c r="O139" s="115" t="s">
        <v>323</v>
      </c>
      <c r="P139" s="93" t="s">
        <v>1089</v>
      </c>
      <c r="Q139" s="93"/>
      <c r="R139" s="93" t="s">
        <v>1089</v>
      </c>
      <c r="S139" s="91">
        <v>0.62986111111111109</v>
      </c>
      <c r="T139" s="116"/>
      <c r="U139" s="116"/>
      <c r="V139" s="91">
        <v>0.63541666666666663</v>
      </c>
      <c r="W139" s="88">
        <f>IF(Table1[[#This Row],[Acknowledgemnet Time ]]="NA","",(Table1[[#This Row],[Acknowledgemnet Time ]]-Table1[[#This Row],[Fault Time]])*24)</f>
        <v>-15.116666666666667</v>
      </c>
      <c r="X139" s="88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89">
        <f>IFERROR(Table1[[#This Row],[Breakdown Time]]*Table1[[#This Row],[Plant Equivalent Weightage]],"")</f>
        <v>4.4792978344075945E-2</v>
      </c>
      <c r="AD139" s="2">
        <v>0.11</v>
      </c>
      <c r="AE139" s="88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4">
        <f>YEAR(Table1[[#This Row],[Date]])+IF(MONTH(Table1[[#This Row],[Date]])&gt;=4,1,0)</f>
        <v>2026</v>
      </c>
      <c r="C140" s="73">
        <f>YEAR(Table1[[#This Row],[Date]])</f>
        <v>2025</v>
      </c>
      <c r="D140" s="73" t="s">
        <v>1082</v>
      </c>
      <c r="E140" s="73" t="s">
        <v>1082</v>
      </c>
      <c r="F140" s="170">
        <f>Table1[[#This Row],[Date]]-DAY(Table1[[#This Row],[Date]])+1</f>
        <v>45748</v>
      </c>
      <c r="G140">
        <f>DAY(EOMONTH(Table1[[#This Row],[Month Year]],0))</f>
        <v>30</v>
      </c>
      <c r="H140" s="103">
        <v>45752</v>
      </c>
      <c r="I140" s="75">
        <f>IFERROR(VLOOKUP(Table1[[#This Row],[Date]],Table3[[Date]:[Sunset Time (POA&lt;20 W/m2)]],3,0),"")</f>
        <v>0.25833333333333336</v>
      </c>
      <c r="J140" s="75">
        <f>IFERROR(VLOOKUP(Table1[[#This Row],[Date]],Table3[[Date]:[Sunset Time (POA&lt;20 W/m2)]],4,0),"")</f>
        <v>0.76875000000000004</v>
      </c>
      <c r="K140" s="76">
        <f>IFERROR((Table1[[#This Row],[Sunset Time (POA&lt;20 W/m2)]]-Table1[[#This Row],[Sunrise Time (POA&gt;20 W/m2)]])*24,"")</f>
        <v>12.250000000000002</v>
      </c>
      <c r="L140" s="107" t="s">
        <v>231</v>
      </c>
      <c r="M140" s="90">
        <f>VLOOKUP(Table1[[#This Row],[Affceted Equipment]],'Basic Data'!$A$2:$C$818,2,0)</f>
        <v>669.6</v>
      </c>
      <c r="N140" s="92">
        <f>IFERROR(VLOOKUP(Table1[[#This Row],[Affceted Equipment]],'Basic Data'!$A$2:$C$818,3,0),"")</f>
        <v>8.348190352703562E-2</v>
      </c>
      <c r="O140" s="115" t="s">
        <v>323</v>
      </c>
      <c r="P140" s="93" t="s">
        <v>1088</v>
      </c>
      <c r="Q140" s="93"/>
      <c r="R140" s="93" t="s">
        <v>1088</v>
      </c>
      <c r="S140" s="91">
        <v>0.63541666666666663</v>
      </c>
      <c r="T140" s="116"/>
      <c r="U140" s="116"/>
      <c r="V140" s="91">
        <v>0.64444444444444449</v>
      </c>
      <c r="W140" s="88">
        <f>IF(Table1[[#This Row],[Acknowledgemnet Time ]]="NA","",(Table1[[#This Row],[Acknowledgemnet Time ]]-Table1[[#This Row],[Fault Time]])*24)</f>
        <v>-15.25</v>
      </c>
      <c r="X140" s="88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89">
        <f>IFERROR(Table1[[#This Row],[Breakdown Time]]*Table1[[#This Row],[Plant Equivalent Weightage]],"")</f>
        <v>1.8087745764191209E-2</v>
      </c>
      <c r="AD140" s="2">
        <v>0.16</v>
      </c>
      <c r="AE140" s="88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4">
        <f>YEAR(Table1[[#This Row],[Date]])+IF(MONTH(Table1[[#This Row],[Date]])&gt;=4,1,0)</f>
        <v>2026</v>
      </c>
      <c r="C141" s="73">
        <f>YEAR(Table1[[#This Row],[Date]])</f>
        <v>2025</v>
      </c>
      <c r="D141" s="73" t="s">
        <v>1082</v>
      </c>
      <c r="E141" s="73" t="s">
        <v>1082</v>
      </c>
      <c r="F141" s="170">
        <f>Table1[[#This Row],[Date]]-DAY(Table1[[#This Row],[Date]])+1</f>
        <v>45748</v>
      </c>
      <c r="G141">
        <f>DAY(EOMONTH(Table1[[#This Row],[Month Year]],0))</f>
        <v>30</v>
      </c>
      <c r="H141" s="103">
        <v>45752</v>
      </c>
      <c r="I141" s="75">
        <f>IFERROR(VLOOKUP(Table1[[#This Row],[Date]],Table3[[Date]:[Sunset Time (POA&lt;20 W/m2)]],3,0),"")</f>
        <v>0.25833333333333336</v>
      </c>
      <c r="J141" s="75">
        <f>IFERROR(VLOOKUP(Table1[[#This Row],[Date]],Table3[[Date]:[Sunset Time (POA&lt;20 W/m2)]],4,0),"")</f>
        <v>0.76875000000000004</v>
      </c>
      <c r="K141" s="76">
        <f>IFERROR((Table1[[#This Row],[Sunset Time (POA&lt;20 W/m2)]]-Table1[[#This Row],[Sunrise Time (POA&gt;20 W/m2)]])*24,"")</f>
        <v>12.250000000000002</v>
      </c>
      <c r="L141" s="107" t="s">
        <v>232</v>
      </c>
      <c r="M141" s="90">
        <f>VLOOKUP(Table1[[#This Row],[Affceted Equipment]],'Basic Data'!$A$2:$C$818,2,0)</f>
        <v>669.6</v>
      </c>
      <c r="N141" s="92">
        <f>IFERROR(VLOOKUP(Table1[[#This Row],[Affceted Equipment]],'Basic Data'!$A$2:$C$818,3,0),"")</f>
        <v>8.348190352703562E-2</v>
      </c>
      <c r="O141" s="115" t="s">
        <v>323</v>
      </c>
      <c r="P141" s="93" t="s">
        <v>1090</v>
      </c>
      <c r="Q141" s="93"/>
      <c r="R141" s="93" t="s">
        <v>1090</v>
      </c>
      <c r="S141" s="91">
        <v>0.63541666666666663</v>
      </c>
      <c r="T141" s="116"/>
      <c r="U141" s="116"/>
      <c r="V141" s="91">
        <v>0.64444444444444449</v>
      </c>
      <c r="W141" s="88">
        <f>IF(Table1[[#This Row],[Acknowledgemnet Time ]]="NA","",(Table1[[#This Row],[Acknowledgemnet Time ]]-Table1[[#This Row],[Fault Time]])*24)</f>
        <v>-15.25</v>
      </c>
      <c r="X141" s="88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89">
        <f>IFERROR(Table1[[#This Row],[Breakdown Time]]*Table1[[#This Row],[Plant Equivalent Weightage]],"")</f>
        <v>1.8087745764191209E-2</v>
      </c>
      <c r="AD141" s="2">
        <v>0.16</v>
      </c>
      <c r="AE141" s="88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4">
        <f>YEAR(Table1[[#This Row],[Date]])+IF(MONTH(Table1[[#This Row],[Date]])&gt;=4,1,0)</f>
        <v>2026</v>
      </c>
      <c r="C142" s="73">
        <f>YEAR(Table1[[#This Row],[Date]])</f>
        <v>2025</v>
      </c>
      <c r="D142" s="73" t="s">
        <v>1082</v>
      </c>
      <c r="E142" s="73" t="s">
        <v>1082</v>
      </c>
      <c r="F142" s="170">
        <f>Table1[[#This Row],[Date]]-DAY(Table1[[#This Row],[Date]])+1</f>
        <v>45748</v>
      </c>
      <c r="G142">
        <f>DAY(EOMONTH(Table1[[#This Row],[Month Year]],0))</f>
        <v>30</v>
      </c>
      <c r="H142" s="103">
        <v>45752</v>
      </c>
      <c r="I142" s="75">
        <f>IFERROR(VLOOKUP(Table1[[#This Row],[Date]],Table3[[Date]:[Sunset Time (POA&lt;20 W/m2)]],3,0),"")</f>
        <v>0.25833333333333336</v>
      </c>
      <c r="J142" s="75">
        <f>IFERROR(VLOOKUP(Table1[[#This Row],[Date]],Table3[[Date]:[Sunset Time (POA&lt;20 W/m2)]],4,0),"")</f>
        <v>0.76875000000000004</v>
      </c>
      <c r="K142" s="76">
        <f>IFERROR((Table1[[#This Row],[Sunset Time (POA&lt;20 W/m2)]]-Table1[[#This Row],[Sunrise Time (POA&gt;20 W/m2)]])*24,"")</f>
        <v>12.250000000000002</v>
      </c>
      <c r="L142" s="107" t="s">
        <v>180</v>
      </c>
      <c r="M142" s="90">
        <f>VLOOKUP(Table1[[#This Row],[Affceted Equipment]],'Basic Data'!$A$2:$C$818,2,0)</f>
        <v>2694.6</v>
      </c>
      <c r="N142" s="92">
        <f>IFERROR(VLOOKUP(Table1[[#This Row],[Affceted Equipment]],'Basic Data'!$A$2:$C$818,3,0),"")</f>
        <v>0.33594733758057077</v>
      </c>
      <c r="O142" s="115" t="s">
        <v>323</v>
      </c>
      <c r="P142" s="93" t="s">
        <v>1089</v>
      </c>
      <c r="Q142" s="93"/>
      <c r="R142" s="93" t="s">
        <v>1089</v>
      </c>
      <c r="S142" s="91">
        <v>0.64444444444444449</v>
      </c>
      <c r="T142" s="116"/>
      <c r="U142" s="116"/>
      <c r="V142" s="91">
        <v>0.66041666666666665</v>
      </c>
      <c r="W142" s="88">
        <f>IF(Table1[[#This Row],[Acknowledgemnet Time ]]="NA","",(Table1[[#This Row],[Acknowledgemnet Time ]]-Table1[[#This Row],[Fault Time]])*24)</f>
        <v>-15.466666666666669</v>
      </c>
      <c r="X142" s="88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89">
        <f>IFERROR(Table1[[#This Row],[Breakdown Time]]*Table1[[#This Row],[Plant Equivalent Weightage]],"")</f>
        <v>0.12877981273921835</v>
      </c>
      <c r="AD142" s="2">
        <v>0.24399999999999999</v>
      </c>
      <c r="AE142" s="88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4">
        <f>YEAR(Table1[[#This Row],[Date]])+IF(MONTH(Table1[[#This Row],[Date]])&gt;=4,1,0)</f>
        <v>2026</v>
      </c>
      <c r="C143" s="73">
        <f>YEAR(Table1[[#This Row],[Date]])</f>
        <v>2025</v>
      </c>
      <c r="D143" s="73" t="s">
        <v>1082</v>
      </c>
      <c r="E143" s="73" t="s">
        <v>1082</v>
      </c>
      <c r="F143" s="170">
        <f>Table1[[#This Row],[Date]]-DAY(Table1[[#This Row],[Date]])+1</f>
        <v>45748</v>
      </c>
      <c r="G143">
        <f>DAY(EOMONTH(Table1[[#This Row],[Month Year]],0))</f>
        <v>30</v>
      </c>
      <c r="H143" s="103">
        <v>45752</v>
      </c>
      <c r="I143" s="75">
        <f>IFERROR(VLOOKUP(Table1[[#This Row],[Date]],Table3[[Date]:[Sunset Time (POA&lt;20 W/m2)]],3,0),"")</f>
        <v>0.25833333333333336</v>
      </c>
      <c r="J143" s="75">
        <f>IFERROR(VLOOKUP(Table1[[#This Row],[Date]],Table3[[Date]:[Sunset Time (POA&lt;20 W/m2)]],4,0),"")</f>
        <v>0.76875000000000004</v>
      </c>
      <c r="K143" s="76">
        <f>IFERROR((Table1[[#This Row],[Sunset Time (POA&lt;20 W/m2)]]-Table1[[#This Row],[Sunrise Time (POA&gt;20 W/m2)]])*24,"")</f>
        <v>12.250000000000002</v>
      </c>
      <c r="L143" s="107" t="s">
        <v>231</v>
      </c>
      <c r="M143" s="90">
        <f>VLOOKUP(Table1[[#This Row],[Affceted Equipment]],'Basic Data'!$A$2:$C$818,2,0)</f>
        <v>669.6</v>
      </c>
      <c r="N143" s="92">
        <f>IFERROR(VLOOKUP(Table1[[#This Row],[Affceted Equipment]],'Basic Data'!$A$2:$C$818,3,0),"")</f>
        <v>8.348190352703562E-2</v>
      </c>
      <c r="O143" s="115" t="s">
        <v>323</v>
      </c>
      <c r="P143" s="93" t="s">
        <v>1088</v>
      </c>
      <c r="Q143" s="93"/>
      <c r="R143" s="93" t="s">
        <v>1088</v>
      </c>
      <c r="S143" s="91">
        <v>0.66041666666666665</v>
      </c>
      <c r="T143" s="116"/>
      <c r="U143" s="116"/>
      <c r="V143" s="91">
        <v>0.70277777777777772</v>
      </c>
      <c r="W143" s="88">
        <f>IF(Table1[[#This Row],[Acknowledgemnet Time ]]="NA","",(Table1[[#This Row],[Acknowledgemnet Time ]]-Table1[[#This Row],[Fault Time]])*24)</f>
        <v>-15.85</v>
      </c>
      <c r="X143" s="88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89">
        <f>IFERROR(Table1[[#This Row],[Breakdown Time]]*Table1[[#This Row],[Plant Equivalent Weightage]],"")</f>
        <v>8.4873268585819464E-2</v>
      </c>
      <c r="AD143" s="2">
        <v>0.46</v>
      </c>
      <c r="AE143" s="88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4">
        <f>YEAR(Table1[[#This Row],[Date]])+IF(MONTH(Table1[[#This Row],[Date]])&gt;=4,1,0)</f>
        <v>2026</v>
      </c>
      <c r="C144" s="73">
        <f>YEAR(Table1[[#This Row],[Date]])</f>
        <v>2025</v>
      </c>
      <c r="D144" s="73" t="s">
        <v>1082</v>
      </c>
      <c r="E144" s="73" t="s">
        <v>1082</v>
      </c>
      <c r="F144" s="170">
        <f>Table1[[#This Row],[Date]]-DAY(Table1[[#This Row],[Date]])+1</f>
        <v>45748</v>
      </c>
      <c r="G144">
        <f>DAY(EOMONTH(Table1[[#This Row],[Month Year]],0))</f>
        <v>30</v>
      </c>
      <c r="H144" s="103">
        <v>45752</v>
      </c>
      <c r="I144" s="75">
        <f>IFERROR(VLOOKUP(Table1[[#This Row],[Date]],Table3[[Date]:[Sunset Time (POA&lt;20 W/m2)]],3,0),"")</f>
        <v>0.25833333333333336</v>
      </c>
      <c r="J144" s="75">
        <f>IFERROR(VLOOKUP(Table1[[#This Row],[Date]],Table3[[Date]:[Sunset Time (POA&lt;20 W/m2)]],4,0),"")</f>
        <v>0.76875000000000004</v>
      </c>
      <c r="K144" s="76">
        <f>IFERROR((Table1[[#This Row],[Sunset Time (POA&lt;20 W/m2)]]-Table1[[#This Row],[Sunrise Time (POA&gt;20 W/m2)]])*24,"")</f>
        <v>12.250000000000002</v>
      </c>
      <c r="L144" s="107" t="s">
        <v>232</v>
      </c>
      <c r="M144" s="90">
        <f>VLOOKUP(Table1[[#This Row],[Affceted Equipment]],'Basic Data'!$A$2:$C$818,2,0)</f>
        <v>669.6</v>
      </c>
      <c r="N144" s="92">
        <f>IFERROR(VLOOKUP(Table1[[#This Row],[Affceted Equipment]],'Basic Data'!$A$2:$C$818,3,0),"")</f>
        <v>8.348190352703562E-2</v>
      </c>
      <c r="O144" s="115" t="s">
        <v>323</v>
      </c>
      <c r="P144" s="93" t="s">
        <v>1090</v>
      </c>
      <c r="Q144" s="93"/>
      <c r="R144" s="93" t="s">
        <v>1090</v>
      </c>
      <c r="S144" s="91">
        <v>0.66041666666666665</v>
      </c>
      <c r="T144" s="116"/>
      <c r="U144" s="116"/>
      <c r="V144" s="91">
        <v>0.70277777777777772</v>
      </c>
      <c r="W144" s="88">
        <f>IF(Table1[[#This Row],[Acknowledgemnet Time ]]="NA","",(Table1[[#This Row],[Acknowledgemnet Time ]]-Table1[[#This Row],[Fault Time]])*24)</f>
        <v>-15.85</v>
      </c>
      <c r="X144" s="88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89">
        <f>IFERROR(Table1[[#This Row],[Breakdown Time]]*Table1[[#This Row],[Plant Equivalent Weightage]],"")</f>
        <v>8.4873268585819464E-2</v>
      </c>
      <c r="AD144" s="2">
        <v>0.46</v>
      </c>
      <c r="AE144" s="88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4">
        <f>YEAR(Table1[[#This Row],[Date]])+IF(MONTH(Table1[[#This Row],[Date]])&gt;=4,1,0)</f>
        <v>2026</v>
      </c>
      <c r="C145" s="73">
        <f>YEAR(Table1[[#This Row],[Date]])</f>
        <v>2025</v>
      </c>
      <c r="D145" s="73" t="s">
        <v>1082</v>
      </c>
      <c r="E145" s="73" t="s">
        <v>1082</v>
      </c>
      <c r="F145" s="170">
        <f>Table1[[#This Row],[Date]]-DAY(Table1[[#This Row],[Date]])+1</f>
        <v>45748</v>
      </c>
      <c r="G145">
        <f>DAY(EOMONTH(Table1[[#This Row],[Month Year]],0))</f>
        <v>30</v>
      </c>
      <c r="H145" s="103">
        <v>45752</v>
      </c>
      <c r="I145" s="75">
        <f>IFERROR(VLOOKUP(Table1[[#This Row],[Date]],Table3[[Date]:[Sunset Time (POA&lt;20 W/m2)]],3,0),"")</f>
        <v>0.25833333333333336</v>
      </c>
      <c r="J145" s="75">
        <f>IFERROR(VLOOKUP(Table1[[#This Row],[Date]],Table3[[Date]:[Sunset Time (POA&lt;20 W/m2)]],4,0),"")</f>
        <v>0.76875000000000004</v>
      </c>
      <c r="K145" s="76">
        <f>IFERROR((Table1[[#This Row],[Sunset Time (POA&lt;20 W/m2)]]-Table1[[#This Row],[Sunrise Time (POA&gt;20 W/m2)]])*24,"")</f>
        <v>12.250000000000002</v>
      </c>
      <c r="L145" s="107" t="s">
        <v>180</v>
      </c>
      <c r="M145" s="90">
        <f>VLOOKUP(Table1[[#This Row],[Affceted Equipment]],'Basic Data'!$A$2:$C$818,2,0)</f>
        <v>2694.6</v>
      </c>
      <c r="N145" s="92">
        <f>IFERROR(VLOOKUP(Table1[[#This Row],[Affceted Equipment]],'Basic Data'!$A$2:$C$818,3,0),"")</f>
        <v>0.33594733758057077</v>
      </c>
      <c r="O145" s="115" t="s">
        <v>323</v>
      </c>
      <c r="P145" s="93" t="s">
        <v>1091</v>
      </c>
      <c r="Q145" s="93"/>
      <c r="R145" s="93" t="s">
        <v>1091</v>
      </c>
      <c r="S145" s="91">
        <v>0.70277777777777772</v>
      </c>
      <c r="T145" s="116"/>
      <c r="U145" s="116"/>
      <c r="V145" s="91">
        <v>0.70416666666666672</v>
      </c>
      <c r="W145" s="88">
        <f>IF(Table1[[#This Row],[Acknowledgemnet Time ]]="NA","",(Table1[[#This Row],[Acknowledgemnet Time ]]-Table1[[#This Row],[Fault Time]])*24)</f>
        <v>-16.866666666666667</v>
      </c>
      <c r="X145" s="88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89">
        <f>IFERROR(Table1[[#This Row],[Breakdown Time]]*Table1[[#This Row],[Plant Equivalent Weightage]],"")</f>
        <v>1.1198244586019881E-2</v>
      </c>
      <c r="AD145" s="2">
        <v>0.01</v>
      </c>
      <c r="AE145" s="88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4">
        <f>YEAR(Table1[[#This Row],[Date]])+IF(MONTH(Table1[[#This Row],[Date]])&gt;=4,1,0)</f>
        <v>2026</v>
      </c>
      <c r="C146" s="73">
        <f>YEAR(Table1[[#This Row],[Date]])</f>
        <v>2025</v>
      </c>
      <c r="D146" s="73" t="s">
        <v>1082</v>
      </c>
      <c r="E146" s="73" t="s">
        <v>1082</v>
      </c>
      <c r="F146" s="170">
        <f>Table1[[#This Row],[Date]]-DAY(Table1[[#This Row],[Date]])+1</f>
        <v>45748</v>
      </c>
      <c r="G146">
        <f>DAY(EOMONTH(Table1[[#This Row],[Month Year]],0))</f>
        <v>30</v>
      </c>
      <c r="H146" s="103">
        <v>45752</v>
      </c>
      <c r="I146" s="75">
        <f>IFERROR(VLOOKUP(Table1[[#This Row],[Date]],Table3[[Date]:[Sunset Time (POA&lt;20 W/m2)]],3,0),"")</f>
        <v>0.25833333333333336</v>
      </c>
      <c r="J146" s="75">
        <f>IFERROR(VLOOKUP(Table1[[#This Row],[Date]],Table3[[Date]:[Sunset Time (POA&lt;20 W/m2)]],4,0),"")</f>
        <v>0.76875000000000004</v>
      </c>
      <c r="K146" s="76">
        <f>IFERROR((Table1[[#This Row],[Sunset Time (POA&lt;20 W/m2)]]-Table1[[#This Row],[Sunrise Time (POA&gt;20 W/m2)]])*24,"")</f>
        <v>12.250000000000002</v>
      </c>
      <c r="L146" s="107" t="s">
        <v>231</v>
      </c>
      <c r="M146" s="90">
        <f>VLOOKUP(Table1[[#This Row],[Affceted Equipment]],'Basic Data'!$A$2:$C$818,2,0)</f>
        <v>669.6</v>
      </c>
      <c r="N146" s="92">
        <f>IFERROR(VLOOKUP(Table1[[#This Row],[Affceted Equipment]],'Basic Data'!$A$2:$C$818,3,0),"")</f>
        <v>8.348190352703562E-2</v>
      </c>
      <c r="O146" s="115" t="s">
        <v>323</v>
      </c>
      <c r="P146" s="93" t="s">
        <v>1088</v>
      </c>
      <c r="Q146" s="93"/>
      <c r="R146" s="93" t="s">
        <v>1088</v>
      </c>
      <c r="S146" s="91">
        <v>0.70416666666666672</v>
      </c>
      <c r="T146" s="116"/>
      <c r="U146" s="116"/>
      <c r="V146" s="91">
        <v>0.72916666666666663</v>
      </c>
      <c r="W146" s="88">
        <f>IF(Table1[[#This Row],[Acknowledgemnet Time ]]="NA","",(Table1[[#This Row],[Acknowledgemnet Time ]]-Table1[[#This Row],[Fault Time]])*24)</f>
        <v>-16.900000000000002</v>
      </c>
      <c r="X146" s="88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89">
        <f>IFERROR(Table1[[#This Row],[Breakdown Time]]*Table1[[#This Row],[Plant Equivalent Weightage]],"")</f>
        <v>5.0089142116221196E-2</v>
      </c>
      <c r="AD146" s="2">
        <v>0.14000000000000001</v>
      </c>
      <c r="AE146" s="88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4">
        <f>YEAR(Table1[[#This Row],[Date]])+IF(MONTH(Table1[[#This Row],[Date]])&gt;=4,1,0)</f>
        <v>2026</v>
      </c>
      <c r="C147" s="73">
        <f>YEAR(Table1[[#This Row],[Date]])</f>
        <v>2025</v>
      </c>
      <c r="D147" s="73" t="s">
        <v>1082</v>
      </c>
      <c r="E147" s="73" t="s">
        <v>1082</v>
      </c>
      <c r="F147" s="170">
        <f>Table1[[#This Row],[Date]]-DAY(Table1[[#This Row],[Date]])+1</f>
        <v>45748</v>
      </c>
      <c r="G147">
        <f>DAY(EOMONTH(Table1[[#This Row],[Month Year]],0))</f>
        <v>30</v>
      </c>
      <c r="H147" s="103">
        <v>45752</v>
      </c>
      <c r="I147" s="75">
        <f>IFERROR(VLOOKUP(Table1[[#This Row],[Date]],Table3[[Date]:[Sunset Time (POA&lt;20 W/m2)]],3,0),"")</f>
        <v>0.25833333333333336</v>
      </c>
      <c r="J147" s="75">
        <f>IFERROR(VLOOKUP(Table1[[#This Row],[Date]],Table3[[Date]:[Sunset Time (POA&lt;20 W/m2)]],4,0),"")</f>
        <v>0.76875000000000004</v>
      </c>
      <c r="K147" s="76">
        <f>IFERROR((Table1[[#This Row],[Sunset Time (POA&lt;20 W/m2)]]-Table1[[#This Row],[Sunrise Time (POA&gt;20 W/m2)]])*24,"")</f>
        <v>12.250000000000002</v>
      </c>
      <c r="L147" s="107" t="s">
        <v>180</v>
      </c>
      <c r="M147" s="90">
        <f>VLOOKUP(Table1[[#This Row],[Affceted Equipment]],'Basic Data'!$A$2:$C$818,2,0)</f>
        <v>2694.6</v>
      </c>
      <c r="N147" s="92">
        <f>IFERROR(VLOOKUP(Table1[[#This Row],[Affceted Equipment]],'Basic Data'!$A$2:$C$818,3,0),"")</f>
        <v>0.33594733758057077</v>
      </c>
      <c r="O147" s="115" t="s">
        <v>323</v>
      </c>
      <c r="P147" s="93" t="s">
        <v>1186</v>
      </c>
      <c r="Q147" s="93"/>
      <c r="R147" s="93" t="s">
        <v>1186</v>
      </c>
      <c r="S147" s="91">
        <v>0.72916666666666663</v>
      </c>
      <c r="T147" s="116"/>
      <c r="U147" s="116"/>
      <c r="V147" s="91">
        <v>0.76875000000000004</v>
      </c>
      <c r="W147" s="88">
        <f>IF(Table1[[#This Row],[Acknowledgemnet Time ]]="NA","",(Table1[[#This Row],[Acknowledgemnet Time ]]-Table1[[#This Row],[Fault Time]])*24)</f>
        <v>-17.5</v>
      </c>
      <c r="X147" s="88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89">
        <f>IFERROR(Table1[[#This Row],[Breakdown Time]]*Table1[[#This Row],[Plant Equivalent Weightage]],"")</f>
        <v>0.31914997070154288</v>
      </c>
      <c r="AD147" s="2">
        <v>0.05</v>
      </c>
      <c r="AE147" s="88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4">
        <f>YEAR(Table1[[#This Row],[Date]])+IF(MONTH(Table1[[#This Row],[Date]])&gt;=4,1,0)</f>
        <v>2026</v>
      </c>
      <c r="C148" s="73">
        <f>YEAR(Table1[[#This Row],[Date]])</f>
        <v>2025</v>
      </c>
      <c r="D148" s="73" t="s">
        <v>1082</v>
      </c>
      <c r="E148" s="73" t="s">
        <v>1082</v>
      </c>
      <c r="F148" s="170">
        <f>Table1[[#This Row],[Date]]-DAY(Table1[[#This Row],[Date]])+1</f>
        <v>45748</v>
      </c>
      <c r="G148">
        <f>DAY(EOMONTH(Table1[[#This Row],[Month Year]],0))</f>
        <v>30</v>
      </c>
      <c r="H148" s="103">
        <v>45753</v>
      </c>
      <c r="I148" s="75">
        <f>IFERROR(VLOOKUP(Table1[[#This Row],[Date]],Table3[[Date]:[Sunset Time (POA&lt;20 W/m2)]],3,0),"")</f>
        <v>0.26111111111111113</v>
      </c>
      <c r="J148" s="75">
        <f>IFERROR(VLOOKUP(Table1[[#This Row],[Date]],Table3[[Date]:[Sunset Time (POA&lt;20 W/m2)]],4,0),"")</f>
        <v>0.76944444444444449</v>
      </c>
      <c r="K148" s="76">
        <f>IFERROR((Table1[[#This Row],[Sunset Time (POA&lt;20 W/m2)]]-Table1[[#This Row],[Sunrise Time (POA&gt;20 W/m2)]])*24,"")</f>
        <v>12.2</v>
      </c>
      <c r="L148" s="107" t="s">
        <v>231</v>
      </c>
      <c r="M148" s="90">
        <f>VLOOKUP(Table1[[#This Row],[Affceted Equipment]],'Basic Data'!$A$2:$C$818,2,0)</f>
        <v>669.6</v>
      </c>
      <c r="N148" s="92">
        <f>IFERROR(VLOOKUP(Table1[[#This Row],[Affceted Equipment]],'Basic Data'!$A$2:$C$818,3,0),"")</f>
        <v>8.348190352703562E-2</v>
      </c>
      <c r="O148" s="115" t="s">
        <v>323</v>
      </c>
      <c r="P148" s="93" t="s">
        <v>1088</v>
      </c>
      <c r="Q148" s="93"/>
      <c r="R148" s="93" t="s">
        <v>1088</v>
      </c>
      <c r="S148" s="91">
        <v>0.26111111111111113</v>
      </c>
      <c r="T148" s="116"/>
      <c r="U148" s="116"/>
      <c r="V148" s="91">
        <v>0.4236111111111111</v>
      </c>
      <c r="W148" s="88">
        <f>IF(Table1[[#This Row],[Acknowledgemnet Time ]]="NA","",(Table1[[#This Row],[Acknowledgemnet Time ]]-Table1[[#This Row],[Fault Time]])*24)</f>
        <v>-6.2666666666666675</v>
      </c>
      <c r="X148" s="88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89">
        <f>IFERROR(Table1[[#This Row],[Breakdown Time]]*Table1[[#This Row],[Plant Equivalent Weightage]],"")</f>
        <v>0.32557942375543886</v>
      </c>
      <c r="AD148" s="2">
        <v>1.34</v>
      </c>
      <c r="AE148" s="88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4">
        <f>YEAR(Table1[[#This Row],[Date]])+IF(MONTH(Table1[[#This Row],[Date]])&gt;=4,1,0)</f>
        <v>2026</v>
      </c>
      <c r="C149" s="73">
        <f>YEAR(Table1[[#This Row],[Date]])</f>
        <v>2025</v>
      </c>
      <c r="D149" s="73" t="s">
        <v>1082</v>
      </c>
      <c r="E149" s="73" t="s">
        <v>1082</v>
      </c>
      <c r="F149" s="170">
        <f>Table1[[#This Row],[Date]]-DAY(Table1[[#This Row],[Date]])+1</f>
        <v>45748</v>
      </c>
      <c r="G149">
        <f>DAY(EOMONTH(Table1[[#This Row],[Month Year]],0))</f>
        <v>30</v>
      </c>
      <c r="H149" s="103">
        <v>45753</v>
      </c>
      <c r="I149" s="75">
        <f>IFERROR(VLOOKUP(Table1[[#This Row],[Date]],Table3[[Date]:[Sunset Time (POA&lt;20 W/m2)]],3,0),"")</f>
        <v>0.26111111111111113</v>
      </c>
      <c r="J149" s="75">
        <f>IFERROR(VLOOKUP(Table1[[#This Row],[Date]],Table3[[Date]:[Sunset Time (POA&lt;20 W/m2)]],4,0),"")</f>
        <v>0.76944444444444449</v>
      </c>
      <c r="K149" s="76">
        <f>IFERROR((Table1[[#This Row],[Sunset Time (POA&lt;20 W/m2)]]-Table1[[#This Row],[Sunrise Time (POA&gt;20 W/m2)]])*24,"")</f>
        <v>12.2</v>
      </c>
      <c r="L149" s="107" t="s">
        <v>180</v>
      </c>
      <c r="M149" s="90">
        <f>VLOOKUP(Table1[[#This Row],[Affceted Equipment]],'Basic Data'!$A$2:$C$818,2,0)</f>
        <v>2694.6</v>
      </c>
      <c r="N149" s="92">
        <f>IFERROR(VLOOKUP(Table1[[#This Row],[Affceted Equipment]],'Basic Data'!$A$2:$C$818,3,0),"")</f>
        <v>0.33594733758057077</v>
      </c>
      <c r="O149" s="115" t="s">
        <v>323</v>
      </c>
      <c r="P149" s="93" t="s">
        <v>1089</v>
      </c>
      <c r="Q149" s="93"/>
      <c r="R149" s="93" t="s">
        <v>1089</v>
      </c>
      <c r="S149" s="91">
        <v>0.4236111111111111</v>
      </c>
      <c r="T149" s="116"/>
      <c r="U149" s="116"/>
      <c r="V149" s="91">
        <v>0.42916666666666664</v>
      </c>
      <c r="W149" s="88">
        <f>IF(Table1[[#This Row],[Acknowledgemnet Time ]]="NA","",(Table1[[#This Row],[Acknowledgemnet Time ]]-Table1[[#This Row],[Fault Time]])*24)</f>
        <v>-10.166666666666666</v>
      </c>
      <c r="X149" s="88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89">
        <f>IFERROR(Table1[[#This Row],[Breakdown Time]]*Table1[[#This Row],[Plant Equivalent Weightage]],"")</f>
        <v>4.4792978344075945E-2</v>
      </c>
      <c r="AD149" s="2">
        <v>0.11</v>
      </c>
      <c r="AE149" s="88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4">
        <f>YEAR(Table1[[#This Row],[Date]])+IF(MONTH(Table1[[#This Row],[Date]])&gt;=4,1,0)</f>
        <v>2026</v>
      </c>
      <c r="C150" s="73">
        <f>YEAR(Table1[[#This Row],[Date]])</f>
        <v>2025</v>
      </c>
      <c r="D150" s="73" t="s">
        <v>1082</v>
      </c>
      <c r="E150" s="73" t="s">
        <v>1082</v>
      </c>
      <c r="F150" s="170">
        <f>Table1[[#This Row],[Date]]-DAY(Table1[[#This Row],[Date]])+1</f>
        <v>45748</v>
      </c>
      <c r="G150">
        <f>DAY(EOMONTH(Table1[[#This Row],[Month Year]],0))</f>
        <v>30</v>
      </c>
      <c r="H150" s="103">
        <v>45753</v>
      </c>
      <c r="I150" s="75">
        <f>IFERROR(VLOOKUP(Table1[[#This Row],[Date]],Table3[[Date]:[Sunset Time (POA&lt;20 W/m2)]],3,0),"")</f>
        <v>0.26111111111111113</v>
      </c>
      <c r="J150" s="75">
        <f>IFERROR(VLOOKUP(Table1[[#This Row],[Date]],Table3[[Date]:[Sunset Time (POA&lt;20 W/m2)]],4,0),"")</f>
        <v>0.76944444444444449</v>
      </c>
      <c r="K150" s="76">
        <f>IFERROR((Table1[[#This Row],[Sunset Time (POA&lt;20 W/m2)]]-Table1[[#This Row],[Sunrise Time (POA&gt;20 W/m2)]])*24,"")</f>
        <v>12.2</v>
      </c>
      <c r="L150" s="107" t="s">
        <v>238</v>
      </c>
      <c r="M150" s="61">
        <f>VLOOKUP(Table1[[#This Row],[Affceted Equipment]],'Basic Data'!$A$2:$C$818,2,0)</f>
        <v>658.8</v>
      </c>
      <c r="N150" s="92">
        <f>IFERROR(VLOOKUP(Table1[[#This Row],[Affceted Equipment]],'Basic Data'!$A$2:$C$818,3,0),"")</f>
        <v>8.2135421212083434E-2</v>
      </c>
      <c r="O150" s="115" t="s">
        <v>303</v>
      </c>
      <c r="P150" s="93" t="s">
        <v>1087</v>
      </c>
      <c r="Q150" s="93"/>
      <c r="R150" s="93" t="s">
        <v>1087</v>
      </c>
      <c r="S150" s="91">
        <v>0.26111111111111113</v>
      </c>
      <c r="T150" s="116"/>
      <c r="U150" s="116"/>
      <c r="V150" s="91">
        <v>0.76944444444444449</v>
      </c>
      <c r="W150" s="88">
        <f>IF(Table1[[#This Row],[Acknowledgemnet Time ]]="NA","",(Table1[[#This Row],[Acknowledgemnet Time ]]-Table1[[#This Row],[Fault Time]])*24)</f>
        <v>-6.2666666666666675</v>
      </c>
      <c r="X150" s="88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89">
        <f>IFERROR(Table1[[#This Row],[Breakdown Time]]*Table1[[#This Row],[Plant Equivalent Weightage]],"")</f>
        <v>1.0020521387874179</v>
      </c>
      <c r="AD150" s="2">
        <v>6.77</v>
      </c>
      <c r="AE150" s="88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4">
        <f>YEAR(Table1[[#This Row],[Date]])+IF(MONTH(Table1[[#This Row],[Date]])&gt;=4,1,0)</f>
        <v>2026</v>
      </c>
      <c r="C151" s="73">
        <f>YEAR(Table1[[#This Row],[Date]])</f>
        <v>2025</v>
      </c>
      <c r="D151" s="73" t="s">
        <v>1082</v>
      </c>
      <c r="E151" s="73" t="s">
        <v>1082</v>
      </c>
      <c r="F151" s="170">
        <f>Table1[[#This Row],[Date]]-DAY(Table1[[#This Row],[Date]])+1</f>
        <v>45748</v>
      </c>
      <c r="G151">
        <f>DAY(EOMONTH(Table1[[#This Row],[Month Year]],0))</f>
        <v>30</v>
      </c>
      <c r="H151" s="103">
        <v>45753</v>
      </c>
      <c r="I151" s="75">
        <f>IFERROR(VLOOKUP(Table1[[#This Row],[Date]],Table3[[Date]:[Sunset Time (POA&lt;20 W/m2)]],3,0),"")</f>
        <v>0.26111111111111113</v>
      </c>
      <c r="J151" s="75">
        <f>IFERROR(VLOOKUP(Table1[[#This Row],[Date]],Table3[[Date]:[Sunset Time (POA&lt;20 W/m2)]],4,0),"")</f>
        <v>0.76944444444444449</v>
      </c>
      <c r="K151" s="76">
        <f>IFERROR((Table1[[#This Row],[Sunset Time (POA&lt;20 W/m2)]]-Table1[[#This Row],[Sunrise Time (POA&gt;20 W/m2)]])*24,"")</f>
        <v>12.2</v>
      </c>
      <c r="L151" s="107" t="s">
        <v>231</v>
      </c>
      <c r="M151" s="61">
        <f>VLOOKUP(Table1[[#This Row],[Affceted Equipment]],'Basic Data'!$A$2:$C$818,2,0)</f>
        <v>669.6</v>
      </c>
      <c r="N151" s="92">
        <f>IFERROR(VLOOKUP(Table1[[#This Row],[Affceted Equipment]],'Basic Data'!$A$2:$C$818,3,0),"")</f>
        <v>8.348190352703562E-2</v>
      </c>
      <c r="O151" s="115" t="s">
        <v>323</v>
      </c>
      <c r="P151" s="93" t="s">
        <v>1088</v>
      </c>
      <c r="Q151" s="93"/>
      <c r="R151" s="93" t="s">
        <v>1088</v>
      </c>
      <c r="S151" s="91">
        <v>0.42916666666666664</v>
      </c>
      <c r="T151" s="116"/>
      <c r="U151" s="116"/>
      <c r="V151" s="91">
        <v>0.43333333333333335</v>
      </c>
      <c r="W151" s="88">
        <f>IF(Table1[[#This Row],[Acknowledgemnet Time ]]="NA","",(Table1[[#This Row],[Acknowledgemnet Time ]]-Table1[[#This Row],[Fault Time]])*24)</f>
        <v>-10.299999999999999</v>
      </c>
      <c r="X151" s="88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89">
        <f>IFERROR(Table1[[#This Row],[Breakdown Time]]*Table1[[#This Row],[Plant Equivalent Weightage]],"")</f>
        <v>8.3481903527036442E-3</v>
      </c>
      <c r="AD151" s="2">
        <v>0.09</v>
      </c>
      <c r="AE151" s="88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4">
        <f>YEAR(Table1[[#This Row],[Date]])+IF(MONTH(Table1[[#This Row],[Date]])&gt;=4,1,0)</f>
        <v>2026</v>
      </c>
      <c r="C152" s="73">
        <f>YEAR(Table1[[#This Row],[Date]])</f>
        <v>2025</v>
      </c>
      <c r="D152" s="73" t="s">
        <v>1082</v>
      </c>
      <c r="E152" s="73" t="s">
        <v>1082</v>
      </c>
      <c r="F152" s="170">
        <f>Table1[[#This Row],[Date]]-DAY(Table1[[#This Row],[Date]])+1</f>
        <v>45748</v>
      </c>
      <c r="G152">
        <f>DAY(EOMONTH(Table1[[#This Row],[Month Year]],0))</f>
        <v>30</v>
      </c>
      <c r="H152" s="103">
        <v>45753</v>
      </c>
      <c r="I152" s="75">
        <f>IFERROR(VLOOKUP(Table1[[#This Row],[Date]],Table3[[Date]:[Sunset Time (POA&lt;20 W/m2)]],3,0),"")</f>
        <v>0.26111111111111113</v>
      </c>
      <c r="J152" s="75">
        <f>IFERROR(VLOOKUP(Table1[[#This Row],[Date]],Table3[[Date]:[Sunset Time (POA&lt;20 W/m2)]],4,0),"")</f>
        <v>0.76944444444444449</v>
      </c>
      <c r="K152" s="76">
        <f>IFERROR((Table1[[#This Row],[Sunset Time (POA&lt;20 W/m2)]]-Table1[[#This Row],[Sunrise Time (POA&gt;20 W/m2)]])*24,"")</f>
        <v>12.2</v>
      </c>
      <c r="L152" s="107" t="s">
        <v>180</v>
      </c>
      <c r="M152" s="61">
        <f>VLOOKUP(Table1[[#This Row],[Affceted Equipment]],'Basic Data'!$A$2:$C$818,2,0)</f>
        <v>2694.6</v>
      </c>
      <c r="N152" s="92">
        <f>IFERROR(VLOOKUP(Table1[[#This Row],[Affceted Equipment]],'Basic Data'!$A$2:$C$818,3,0),"")</f>
        <v>0.33594733758057077</v>
      </c>
      <c r="O152" s="115" t="s">
        <v>323</v>
      </c>
      <c r="P152" s="93" t="s">
        <v>1089</v>
      </c>
      <c r="Q152" s="93"/>
      <c r="R152" s="93" t="s">
        <v>1089</v>
      </c>
      <c r="S152" s="91">
        <v>0.43333333333333335</v>
      </c>
      <c r="T152" s="116"/>
      <c r="U152" s="116"/>
      <c r="V152" s="91">
        <v>0.4375</v>
      </c>
      <c r="W152" s="88">
        <f>IF(Table1[[#This Row],[Acknowledgemnet Time ]]="NA","",(Table1[[#This Row],[Acknowledgemnet Time ]]-Table1[[#This Row],[Fault Time]])*24)</f>
        <v>-10.4</v>
      </c>
      <c r="X152" s="88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89">
        <f>IFERROR(Table1[[#This Row],[Breakdown Time]]*Table1[[#This Row],[Plant Equivalent Weightage]],"")</f>
        <v>3.3594733758056959E-2</v>
      </c>
      <c r="AD152" s="2">
        <v>0.09</v>
      </c>
      <c r="AE152" s="88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4">
        <f>YEAR(Table1[[#This Row],[Date]])+IF(MONTH(Table1[[#This Row],[Date]])&gt;=4,1,0)</f>
        <v>2026</v>
      </c>
      <c r="C153" s="73">
        <f>YEAR(Table1[[#This Row],[Date]])</f>
        <v>2025</v>
      </c>
      <c r="D153" s="73" t="s">
        <v>1082</v>
      </c>
      <c r="E153" s="73" t="s">
        <v>1082</v>
      </c>
      <c r="F153" s="170">
        <f>Table1[[#This Row],[Date]]-DAY(Table1[[#This Row],[Date]])+1</f>
        <v>45748</v>
      </c>
      <c r="G153">
        <f>DAY(EOMONTH(Table1[[#This Row],[Month Year]],0))</f>
        <v>30</v>
      </c>
      <c r="H153" s="103">
        <v>45753</v>
      </c>
      <c r="I153" s="75">
        <f>IFERROR(VLOOKUP(Table1[[#This Row],[Date]],Table3[[Date]:[Sunset Time (POA&lt;20 W/m2)]],3,0),"")</f>
        <v>0.26111111111111113</v>
      </c>
      <c r="J153" s="75">
        <f>IFERROR(VLOOKUP(Table1[[#This Row],[Date]],Table3[[Date]:[Sunset Time (POA&lt;20 W/m2)]],4,0),"")</f>
        <v>0.76944444444444449</v>
      </c>
      <c r="K153" s="76">
        <f>IFERROR((Table1[[#This Row],[Sunset Time (POA&lt;20 W/m2)]]-Table1[[#This Row],[Sunrise Time (POA&gt;20 W/m2)]])*24,"")</f>
        <v>12.2</v>
      </c>
      <c r="L153" s="107" t="s">
        <v>231</v>
      </c>
      <c r="M153" s="61">
        <f>VLOOKUP(Table1[[#This Row],[Affceted Equipment]],'Basic Data'!$A$2:$C$818,2,0)</f>
        <v>669.6</v>
      </c>
      <c r="N153" s="92">
        <f>IFERROR(VLOOKUP(Table1[[#This Row],[Affceted Equipment]],'Basic Data'!$A$2:$C$818,3,0),"")</f>
        <v>8.348190352703562E-2</v>
      </c>
      <c r="O153" s="115" t="s">
        <v>323</v>
      </c>
      <c r="P153" s="93" t="s">
        <v>1088</v>
      </c>
      <c r="Q153" s="93"/>
      <c r="R153" s="93" t="s">
        <v>1088</v>
      </c>
      <c r="S153" s="91">
        <v>0.4375</v>
      </c>
      <c r="T153" s="116"/>
      <c r="U153" s="116"/>
      <c r="V153" s="91">
        <v>0.46736111111111112</v>
      </c>
      <c r="W153" s="88">
        <f>IF(Table1[[#This Row],[Acknowledgemnet Time ]]="NA","",(Table1[[#This Row],[Acknowledgemnet Time ]]-Table1[[#This Row],[Fault Time]])*24)</f>
        <v>-10.5</v>
      </c>
      <c r="X153" s="88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89">
        <f>IFERROR(Table1[[#This Row],[Breakdown Time]]*Table1[[#This Row],[Plant Equivalent Weightage]],"")</f>
        <v>5.982869752770887E-2</v>
      </c>
      <c r="AD153" s="2">
        <v>0.63</v>
      </c>
      <c r="AE153" s="88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4">
        <f>YEAR(Table1[[#This Row],[Date]])+IF(MONTH(Table1[[#This Row],[Date]])&gt;=4,1,0)</f>
        <v>2026</v>
      </c>
      <c r="C154" s="73">
        <f>YEAR(Table1[[#This Row],[Date]])</f>
        <v>2025</v>
      </c>
      <c r="D154" s="73" t="s">
        <v>1082</v>
      </c>
      <c r="E154" s="73" t="s">
        <v>1082</v>
      </c>
      <c r="F154" s="170">
        <f>Table1[[#This Row],[Date]]-DAY(Table1[[#This Row],[Date]])+1</f>
        <v>45748</v>
      </c>
      <c r="G154">
        <f>DAY(EOMONTH(Table1[[#This Row],[Month Year]],0))</f>
        <v>30</v>
      </c>
      <c r="H154" s="103">
        <v>45753</v>
      </c>
      <c r="I154" s="75">
        <f>IFERROR(VLOOKUP(Table1[[#This Row],[Date]],Table3[[Date]:[Sunset Time (POA&lt;20 W/m2)]],3,0),"")</f>
        <v>0.26111111111111113</v>
      </c>
      <c r="J154" s="75">
        <f>IFERROR(VLOOKUP(Table1[[#This Row],[Date]],Table3[[Date]:[Sunset Time (POA&lt;20 W/m2)]],4,0),"")</f>
        <v>0.76944444444444449</v>
      </c>
      <c r="K154" s="76">
        <f>IFERROR((Table1[[#This Row],[Sunset Time (POA&lt;20 W/m2)]]-Table1[[#This Row],[Sunrise Time (POA&gt;20 W/m2)]])*24,"")</f>
        <v>12.2</v>
      </c>
      <c r="L154" s="107" t="s">
        <v>232</v>
      </c>
      <c r="M154" s="61">
        <f>VLOOKUP(Table1[[#This Row],[Affceted Equipment]],'Basic Data'!$A$2:$C$818,2,0)</f>
        <v>669.6</v>
      </c>
      <c r="N154" s="92">
        <f>IFERROR(VLOOKUP(Table1[[#This Row],[Affceted Equipment]],'Basic Data'!$A$2:$C$818,3,0),"")</f>
        <v>8.348190352703562E-2</v>
      </c>
      <c r="O154" s="115" t="s">
        <v>323</v>
      </c>
      <c r="P154" s="93" t="s">
        <v>1090</v>
      </c>
      <c r="Q154" s="93"/>
      <c r="R154" s="93" t="s">
        <v>1090</v>
      </c>
      <c r="S154" s="91">
        <v>0.4375</v>
      </c>
      <c r="T154" s="116"/>
      <c r="U154" s="116"/>
      <c r="V154" s="91">
        <v>0.46736111111111112</v>
      </c>
      <c r="W154" s="88">
        <f>IF(Table1[[#This Row],[Acknowledgemnet Time ]]="NA","",(Table1[[#This Row],[Acknowledgemnet Time ]]-Table1[[#This Row],[Fault Time]])*24)</f>
        <v>-10.5</v>
      </c>
      <c r="X154" s="88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89">
        <f>IFERROR(Table1[[#This Row],[Breakdown Time]]*Table1[[#This Row],[Plant Equivalent Weightage]],"")</f>
        <v>5.982869752770887E-2</v>
      </c>
      <c r="AD154" s="2">
        <v>0.63</v>
      </c>
      <c r="AE154" s="88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4">
        <f>YEAR(Table1[[#This Row],[Date]])+IF(MONTH(Table1[[#This Row],[Date]])&gt;=4,1,0)</f>
        <v>2026</v>
      </c>
      <c r="C155" s="73">
        <f>YEAR(Table1[[#This Row],[Date]])</f>
        <v>2025</v>
      </c>
      <c r="D155" s="73" t="s">
        <v>1082</v>
      </c>
      <c r="E155" s="73" t="s">
        <v>1082</v>
      </c>
      <c r="F155" s="170">
        <f>Table1[[#This Row],[Date]]-DAY(Table1[[#This Row],[Date]])+1</f>
        <v>45748</v>
      </c>
      <c r="G155">
        <f>DAY(EOMONTH(Table1[[#This Row],[Month Year]],0))</f>
        <v>30</v>
      </c>
      <c r="H155" s="103">
        <v>45753</v>
      </c>
      <c r="I155" s="75">
        <f>IFERROR(VLOOKUP(Table1[[#This Row],[Date]],Table3[[Date]:[Sunset Time (POA&lt;20 W/m2)]],3,0),"")</f>
        <v>0.26111111111111113</v>
      </c>
      <c r="J155" s="75">
        <f>IFERROR(VLOOKUP(Table1[[#This Row],[Date]],Table3[[Date]:[Sunset Time (POA&lt;20 W/m2)]],4,0),"")</f>
        <v>0.76944444444444449</v>
      </c>
      <c r="K155" s="76">
        <f>IFERROR((Table1[[#This Row],[Sunset Time (POA&lt;20 W/m2)]]-Table1[[#This Row],[Sunrise Time (POA&gt;20 W/m2)]])*24,"")</f>
        <v>12.2</v>
      </c>
      <c r="L155" s="107" t="s">
        <v>180</v>
      </c>
      <c r="M155" s="61">
        <f>VLOOKUP(Table1[[#This Row],[Affceted Equipment]],'Basic Data'!$A$2:$C$818,2,0)</f>
        <v>2694.6</v>
      </c>
      <c r="N155" s="92">
        <f>IFERROR(VLOOKUP(Table1[[#This Row],[Affceted Equipment]],'Basic Data'!$A$2:$C$818,3,0),"")</f>
        <v>0.33594733758057077</v>
      </c>
      <c r="O155" s="115" t="s">
        <v>323</v>
      </c>
      <c r="P155" s="93" t="s">
        <v>1089</v>
      </c>
      <c r="Q155" s="93"/>
      <c r="R155" s="93" t="s">
        <v>1089</v>
      </c>
      <c r="S155" s="91">
        <v>0.46736111111111112</v>
      </c>
      <c r="T155" s="116"/>
      <c r="U155" s="116"/>
      <c r="V155" s="91">
        <v>0.47222222222222221</v>
      </c>
      <c r="W155" s="88">
        <f>IF(Table1[[#This Row],[Acknowledgemnet Time ]]="NA","",(Table1[[#This Row],[Acknowledgemnet Time ]]-Table1[[#This Row],[Fault Time]])*24)</f>
        <v>-11.216666666666667</v>
      </c>
      <c r="X155" s="88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89">
        <f>IFERROR(Table1[[#This Row],[Breakdown Time]]*Table1[[#This Row],[Plant Equivalent Weightage]],"")</f>
        <v>3.9193856051066449E-2</v>
      </c>
      <c r="AD155" s="2">
        <v>0.12</v>
      </c>
      <c r="AE155" s="88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4">
        <f>YEAR(Table1[[#This Row],[Date]])+IF(MONTH(Table1[[#This Row],[Date]])&gt;=4,1,0)</f>
        <v>2026</v>
      </c>
      <c r="C156" s="73">
        <f>YEAR(Table1[[#This Row],[Date]])</f>
        <v>2025</v>
      </c>
      <c r="D156" s="73" t="s">
        <v>1082</v>
      </c>
      <c r="E156" s="73" t="s">
        <v>1082</v>
      </c>
      <c r="F156" s="170">
        <f>Table1[[#This Row],[Date]]-DAY(Table1[[#This Row],[Date]])+1</f>
        <v>45748</v>
      </c>
      <c r="G156">
        <f>DAY(EOMONTH(Table1[[#This Row],[Month Year]],0))</f>
        <v>30</v>
      </c>
      <c r="H156" s="103">
        <v>45753</v>
      </c>
      <c r="I156" s="75">
        <f>IFERROR(VLOOKUP(Table1[[#This Row],[Date]],Table3[[Date]:[Sunset Time (POA&lt;20 W/m2)]],3,0),"")</f>
        <v>0.26111111111111113</v>
      </c>
      <c r="J156" s="75">
        <f>IFERROR(VLOOKUP(Table1[[#This Row],[Date]],Table3[[Date]:[Sunset Time (POA&lt;20 W/m2)]],4,0),"")</f>
        <v>0.76944444444444449</v>
      </c>
      <c r="K156" s="76">
        <f>IFERROR((Table1[[#This Row],[Sunset Time (POA&lt;20 W/m2)]]-Table1[[#This Row],[Sunrise Time (POA&gt;20 W/m2)]])*24,"")</f>
        <v>12.2</v>
      </c>
      <c r="L156" s="107" t="s">
        <v>231</v>
      </c>
      <c r="M156" s="61">
        <f>VLOOKUP(Table1[[#This Row],[Affceted Equipment]],'Basic Data'!$A$2:$C$818,2,0)</f>
        <v>669.6</v>
      </c>
      <c r="N156" s="92">
        <f>IFERROR(VLOOKUP(Table1[[#This Row],[Affceted Equipment]],'Basic Data'!$A$2:$C$818,3,0),"")</f>
        <v>8.348190352703562E-2</v>
      </c>
      <c r="O156" s="115" t="s">
        <v>323</v>
      </c>
      <c r="P156" s="93" t="s">
        <v>1088</v>
      </c>
      <c r="Q156" s="93"/>
      <c r="R156" s="93" t="s">
        <v>1088</v>
      </c>
      <c r="S156" s="91">
        <v>0.47222222222222221</v>
      </c>
      <c r="T156" s="116"/>
      <c r="U156" s="116"/>
      <c r="V156" s="91">
        <v>0.4861111111111111</v>
      </c>
      <c r="W156" s="88">
        <f>IF(Table1[[#This Row],[Acknowledgemnet Time ]]="NA","",(Table1[[#This Row],[Acknowledgemnet Time ]]-Table1[[#This Row],[Fault Time]])*24)</f>
        <v>-11.333333333333332</v>
      </c>
      <c r="X156" s="88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89">
        <f>IFERROR(Table1[[#This Row],[Breakdown Time]]*Table1[[#This Row],[Plant Equivalent Weightage]],"")</f>
        <v>2.7827301175678554E-2</v>
      </c>
      <c r="AD156" s="2">
        <v>0.33</v>
      </c>
      <c r="AE156" s="88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4">
        <f>YEAR(Table1[[#This Row],[Date]])+IF(MONTH(Table1[[#This Row],[Date]])&gt;=4,1,0)</f>
        <v>2026</v>
      </c>
      <c r="C157" s="73">
        <f>YEAR(Table1[[#This Row],[Date]])</f>
        <v>2025</v>
      </c>
      <c r="D157" s="73" t="s">
        <v>1082</v>
      </c>
      <c r="E157" s="73" t="s">
        <v>1082</v>
      </c>
      <c r="F157" s="170">
        <f>Table1[[#This Row],[Date]]-DAY(Table1[[#This Row],[Date]])+1</f>
        <v>45748</v>
      </c>
      <c r="G157">
        <f>DAY(EOMONTH(Table1[[#This Row],[Month Year]],0))</f>
        <v>30</v>
      </c>
      <c r="H157" s="103">
        <v>45753</v>
      </c>
      <c r="I157" s="75">
        <f>IFERROR(VLOOKUP(Table1[[#This Row],[Date]],Table3[[Date]:[Sunset Time (POA&lt;20 W/m2)]],3,0),"")</f>
        <v>0.26111111111111113</v>
      </c>
      <c r="J157" s="75">
        <f>IFERROR(VLOOKUP(Table1[[#This Row],[Date]],Table3[[Date]:[Sunset Time (POA&lt;20 W/m2)]],4,0),"")</f>
        <v>0.76944444444444449</v>
      </c>
      <c r="K157" s="76">
        <f>IFERROR((Table1[[#This Row],[Sunset Time (POA&lt;20 W/m2)]]-Table1[[#This Row],[Sunrise Time (POA&gt;20 W/m2)]])*24,"")</f>
        <v>12.2</v>
      </c>
      <c r="L157" s="107" t="s">
        <v>232</v>
      </c>
      <c r="M157" s="61">
        <f>VLOOKUP(Table1[[#This Row],[Affceted Equipment]],'Basic Data'!$A$2:$C$818,2,0)</f>
        <v>669.6</v>
      </c>
      <c r="N157" s="92">
        <f>IFERROR(VLOOKUP(Table1[[#This Row],[Affceted Equipment]],'Basic Data'!$A$2:$C$818,3,0),"")</f>
        <v>8.348190352703562E-2</v>
      </c>
      <c r="O157" s="115" t="s">
        <v>323</v>
      </c>
      <c r="P157" s="93" t="s">
        <v>1090</v>
      </c>
      <c r="Q157" s="93"/>
      <c r="R157" s="93" t="s">
        <v>1090</v>
      </c>
      <c r="S157" s="91">
        <v>0.47222222222222221</v>
      </c>
      <c r="T157" s="116"/>
      <c r="U157" s="116"/>
      <c r="V157" s="91">
        <v>0.4861111111111111</v>
      </c>
      <c r="W157" s="88">
        <f>IF(Table1[[#This Row],[Acknowledgemnet Time ]]="NA","",(Table1[[#This Row],[Acknowledgemnet Time ]]-Table1[[#This Row],[Fault Time]])*24)</f>
        <v>-11.333333333333332</v>
      </c>
      <c r="X157" s="88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89">
        <f>IFERROR(Table1[[#This Row],[Breakdown Time]]*Table1[[#This Row],[Plant Equivalent Weightage]],"")</f>
        <v>2.7827301175678554E-2</v>
      </c>
      <c r="AD157" s="2">
        <v>0.33</v>
      </c>
      <c r="AE157" s="88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4">
        <f>YEAR(Table1[[#This Row],[Date]])+IF(MONTH(Table1[[#This Row],[Date]])&gt;=4,1,0)</f>
        <v>2026</v>
      </c>
      <c r="C158" s="73">
        <f>YEAR(Table1[[#This Row],[Date]])</f>
        <v>2025</v>
      </c>
      <c r="D158" s="73" t="s">
        <v>1082</v>
      </c>
      <c r="E158" s="73" t="s">
        <v>1082</v>
      </c>
      <c r="F158" s="170">
        <f>Table1[[#This Row],[Date]]-DAY(Table1[[#This Row],[Date]])+1</f>
        <v>45748</v>
      </c>
      <c r="G158">
        <f>DAY(EOMONTH(Table1[[#This Row],[Month Year]],0))</f>
        <v>30</v>
      </c>
      <c r="H158" s="103">
        <v>45753</v>
      </c>
      <c r="I158" s="75">
        <f>IFERROR(VLOOKUP(Table1[[#This Row],[Date]],Table3[[Date]:[Sunset Time (POA&lt;20 W/m2)]],3,0),"")</f>
        <v>0.26111111111111113</v>
      </c>
      <c r="J158" s="75">
        <f>IFERROR(VLOOKUP(Table1[[#This Row],[Date]],Table3[[Date]:[Sunset Time (POA&lt;20 W/m2)]],4,0),"")</f>
        <v>0.76944444444444449</v>
      </c>
      <c r="K158" s="76">
        <f>IFERROR((Table1[[#This Row],[Sunset Time (POA&lt;20 W/m2)]]-Table1[[#This Row],[Sunrise Time (POA&gt;20 W/m2)]])*24,"")</f>
        <v>12.2</v>
      </c>
      <c r="L158" s="107" t="s">
        <v>180</v>
      </c>
      <c r="M158" s="61">
        <f>VLOOKUP(Table1[[#This Row],[Affceted Equipment]],'Basic Data'!$A$2:$C$818,2,0)</f>
        <v>2694.6</v>
      </c>
      <c r="N158" s="92">
        <f>IFERROR(VLOOKUP(Table1[[#This Row],[Affceted Equipment]],'Basic Data'!$A$2:$C$818,3,0),"")</f>
        <v>0.33594733758057077</v>
      </c>
      <c r="O158" s="115" t="s">
        <v>323</v>
      </c>
      <c r="P158" s="93" t="s">
        <v>1089</v>
      </c>
      <c r="Q158" s="93"/>
      <c r="R158" s="93" t="s">
        <v>1089</v>
      </c>
      <c r="S158" s="91">
        <v>0.4861111111111111</v>
      </c>
      <c r="T158" s="116"/>
      <c r="U158" s="116"/>
      <c r="V158" s="91">
        <v>0.49166666666666664</v>
      </c>
      <c r="W158" s="88">
        <f>IF(Table1[[#This Row],[Acknowledgemnet Time ]]="NA","",(Table1[[#This Row],[Acknowledgemnet Time ]]-Table1[[#This Row],[Fault Time]])*24)</f>
        <v>-11.666666666666666</v>
      </c>
      <c r="X158" s="88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89">
        <f>IFERROR(Table1[[#This Row],[Breakdown Time]]*Table1[[#This Row],[Plant Equivalent Weightage]],"")</f>
        <v>4.4792978344075945E-2</v>
      </c>
      <c r="AD158" s="2">
        <v>0.14000000000000001</v>
      </c>
      <c r="AE158" s="88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4">
        <f>YEAR(Table1[[#This Row],[Date]])+IF(MONTH(Table1[[#This Row],[Date]])&gt;=4,1,0)</f>
        <v>2026</v>
      </c>
      <c r="C159" s="73">
        <f>YEAR(Table1[[#This Row],[Date]])</f>
        <v>2025</v>
      </c>
      <c r="D159" s="73" t="s">
        <v>1082</v>
      </c>
      <c r="E159" s="73" t="s">
        <v>1082</v>
      </c>
      <c r="F159" s="170">
        <f>Table1[[#This Row],[Date]]-DAY(Table1[[#This Row],[Date]])+1</f>
        <v>45748</v>
      </c>
      <c r="G159">
        <f>DAY(EOMONTH(Table1[[#This Row],[Month Year]],0))</f>
        <v>30</v>
      </c>
      <c r="H159" s="103">
        <v>45753</v>
      </c>
      <c r="I159" s="75">
        <f>IFERROR(VLOOKUP(Table1[[#This Row],[Date]],Table3[[Date]:[Sunset Time (POA&lt;20 W/m2)]],3,0),"")</f>
        <v>0.26111111111111113</v>
      </c>
      <c r="J159" s="75">
        <f>IFERROR(VLOOKUP(Table1[[#This Row],[Date]],Table3[[Date]:[Sunset Time (POA&lt;20 W/m2)]],4,0),"")</f>
        <v>0.76944444444444449</v>
      </c>
      <c r="K159" s="76">
        <f>IFERROR((Table1[[#This Row],[Sunset Time (POA&lt;20 W/m2)]]-Table1[[#This Row],[Sunrise Time (POA&gt;20 W/m2)]])*24,"")</f>
        <v>12.2</v>
      </c>
      <c r="L159" s="107" t="s">
        <v>231</v>
      </c>
      <c r="M159" s="61">
        <f>VLOOKUP(Table1[[#This Row],[Affceted Equipment]],'Basic Data'!$A$2:$C$818,2,0)</f>
        <v>669.6</v>
      </c>
      <c r="N159" s="92">
        <f>IFERROR(VLOOKUP(Table1[[#This Row],[Affceted Equipment]],'Basic Data'!$A$2:$C$818,3,0),"")</f>
        <v>8.348190352703562E-2</v>
      </c>
      <c r="O159" s="115" t="s">
        <v>323</v>
      </c>
      <c r="P159" s="93" t="s">
        <v>1088</v>
      </c>
      <c r="Q159" s="93"/>
      <c r="R159" s="93" t="s">
        <v>1088</v>
      </c>
      <c r="S159" s="91">
        <v>0.49166666666666664</v>
      </c>
      <c r="T159" s="116"/>
      <c r="U159" s="116"/>
      <c r="V159" s="91">
        <v>0.50069444444444444</v>
      </c>
      <c r="W159" s="88">
        <f>IF(Table1[[#This Row],[Acknowledgemnet Time ]]="NA","",(Table1[[#This Row],[Acknowledgemnet Time ]]-Table1[[#This Row],[Fault Time]])*24)</f>
        <v>-11.799999999999999</v>
      </c>
      <c r="X159" s="88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89">
        <f>IFERROR(Table1[[#This Row],[Breakdown Time]]*Table1[[#This Row],[Plant Equivalent Weightage]],"")</f>
        <v>1.8087745764191098E-2</v>
      </c>
      <c r="AD159" s="2">
        <v>0.23</v>
      </c>
      <c r="AE159" s="88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4">
        <f>YEAR(Table1[[#This Row],[Date]])+IF(MONTH(Table1[[#This Row],[Date]])&gt;=4,1,0)</f>
        <v>2026</v>
      </c>
      <c r="C160" s="73">
        <f>YEAR(Table1[[#This Row],[Date]])</f>
        <v>2025</v>
      </c>
      <c r="D160" s="73" t="s">
        <v>1082</v>
      </c>
      <c r="E160" s="73" t="s">
        <v>1082</v>
      </c>
      <c r="F160" s="170">
        <f>Table1[[#This Row],[Date]]-DAY(Table1[[#This Row],[Date]])+1</f>
        <v>45748</v>
      </c>
      <c r="G160">
        <f>DAY(EOMONTH(Table1[[#This Row],[Month Year]],0))</f>
        <v>30</v>
      </c>
      <c r="H160" s="103">
        <v>45753</v>
      </c>
      <c r="I160" s="75">
        <f>IFERROR(VLOOKUP(Table1[[#This Row],[Date]],Table3[[Date]:[Sunset Time (POA&lt;20 W/m2)]],3,0),"")</f>
        <v>0.26111111111111113</v>
      </c>
      <c r="J160" s="75">
        <f>IFERROR(VLOOKUP(Table1[[#This Row],[Date]],Table3[[Date]:[Sunset Time (POA&lt;20 W/m2)]],4,0),"")</f>
        <v>0.76944444444444449</v>
      </c>
      <c r="K160" s="76">
        <f>IFERROR((Table1[[#This Row],[Sunset Time (POA&lt;20 W/m2)]]-Table1[[#This Row],[Sunrise Time (POA&gt;20 W/m2)]])*24,"")</f>
        <v>12.2</v>
      </c>
      <c r="L160" s="107" t="s">
        <v>232</v>
      </c>
      <c r="M160" s="61">
        <f>VLOOKUP(Table1[[#This Row],[Affceted Equipment]],'Basic Data'!$A$2:$C$818,2,0)</f>
        <v>669.6</v>
      </c>
      <c r="N160" s="92">
        <f>IFERROR(VLOOKUP(Table1[[#This Row],[Affceted Equipment]],'Basic Data'!$A$2:$C$818,3,0),"")</f>
        <v>8.348190352703562E-2</v>
      </c>
      <c r="O160" s="115" t="s">
        <v>323</v>
      </c>
      <c r="P160" s="93" t="s">
        <v>1090</v>
      </c>
      <c r="Q160" s="93"/>
      <c r="R160" s="93" t="s">
        <v>1090</v>
      </c>
      <c r="S160" s="91">
        <v>0.49166666666666664</v>
      </c>
      <c r="T160" s="116"/>
      <c r="U160" s="116"/>
      <c r="V160" s="91">
        <v>0.50069444444444444</v>
      </c>
      <c r="W160" s="88">
        <f>IF(Table1[[#This Row],[Acknowledgemnet Time ]]="NA","",(Table1[[#This Row],[Acknowledgemnet Time ]]-Table1[[#This Row],[Fault Time]])*24)</f>
        <v>-11.799999999999999</v>
      </c>
      <c r="X160" s="88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89">
        <f>IFERROR(Table1[[#This Row],[Breakdown Time]]*Table1[[#This Row],[Plant Equivalent Weightage]],"")</f>
        <v>1.8087745764191098E-2</v>
      </c>
      <c r="AD160" s="2">
        <v>0.23</v>
      </c>
      <c r="AE160" s="88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4">
        <f>YEAR(Table1[[#This Row],[Date]])+IF(MONTH(Table1[[#This Row],[Date]])&gt;=4,1,0)</f>
        <v>2026</v>
      </c>
      <c r="C161" s="73">
        <f>YEAR(Table1[[#This Row],[Date]])</f>
        <v>2025</v>
      </c>
      <c r="D161" s="73" t="s">
        <v>1082</v>
      </c>
      <c r="E161" s="73" t="s">
        <v>1082</v>
      </c>
      <c r="F161" s="170">
        <f>Table1[[#This Row],[Date]]-DAY(Table1[[#This Row],[Date]])+1</f>
        <v>45748</v>
      </c>
      <c r="G161">
        <f>DAY(EOMONTH(Table1[[#This Row],[Month Year]],0))</f>
        <v>30</v>
      </c>
      <c r="H161" s="103">
        <v>45753</v>
      </c>
      <c r="I161" s="75">
        <f>IFERROR(VLOOKUP(Table1[[#This Row],[Date]],Table3[[Date]:[Sunset Time (POA&lt;20 W/m2)]],3,0),"")</f>
        <v>0.26111111111111113</v>
      </c>
      <c r="J161" s="75">
        <f>IFERROR(VLOOKUP(Table1[[#This Row],[Date]],Table3[[Date]:[Sunset Time (POA&lt;20 W/m2)]],4,0),"")</f>
        <v>0.76944444444444449</v>
      </c>
      <c r="K161" s="76">
        <f>IFERROR((Table1[[#This Row],[Sunset Time (POA&lt;20 W/m2)]]-Table1[[#This Row],[Sunrise Time (POA&gt;20 W/m2)]])*24,"")</f>
        <v>12.2</v>
      </c>
      <c r="L161" s="107" t="s">
        <v>180</v>
      </c>
      <c r="M161" s="61">
        <f>VLOOKUP(Table1[[#This Row],[Affceted Equipment]],'Basic Data'!$A$2:$C$818,2,0)</f>
        <v>2694.6</v>
      </c>
      <c r="N161" s="92">
        <f>IFERROR(VLOOKUP(Table1[[#This Row],[Affceted Equipment]],'Basic Data'!$A$2:$C$818,3,0),"")</f>
        <v>0.33594733758057077</v>
      </c>
      <c r="O161" s="115" t="s">
        <v>323</v>
      </c>
      <c r="P161" s="93" t="s">
        <v>1089</v>
      </c>
      <c r="Q161" s="93"/>
      <c r="R161" s="93" t="s">
        <v>1089</v>
      </c>
      <c r="S161" s="91">
        <v>0.50069444444444444</v>
      </c>
      <c r="T161" s="116"/>
      <c r="U161" s="116"/>
      <c r="V161" s="91">
        <v>0.51944444444444449</v>
      </c>
      <c r="W161" s="88">
        <f>IF(Table1[[#This Row],[Acknowledgemnet Time ]]="NA","",(Table1[[#This Row],[Acknowledgemnet Time ]]-Table1[[#This Row],[Fault Time]])*24)</f>
        <v>-12.016666666666666</v>
      </c>
      <c r="X161" s="88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89">
        <f>IFERROR(Table1[[#This Row],[Breakdown Time]]*Table1[[#This Row],[Plant Equivalent Weightage]],"")</f>
        <v>0.15117630191125719</v>
      </c>
      <c r="AD161" s="2">
        <v>0.41</v>
      </c>
      <c r="AE161" s="88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4">
        <f>YEAR(Table1[[#This Row],[Date]])+IF(MONTH(Table1[[#This Row],[Date]])&gt;=4,1,0)</f>
        <v>2026</v>
      </c>
      <c r="C162" s="73">
        <f>YEAR(Table1[[#This Row],[Date]])</f>
        <v>2025</v>
      </c>
      <c r="D162" s="73" t="s">
        <v>1082</v>
      </c>
      <c r="E162" s="73" t="s">
        <v>1082</v>
      </c>
      <c r="F162" s="170">
        <f>Table1[[#This Row],[Date]]-DAY(Table1[[#This Row],[Date]])+1</f>
        <v>45748</v>
      </c>
      <c r="G162">
        <f>DAY(EOMONTH(Table1[[#This Row],[Month Year]],0))</f>
        <v>30</v>
      </c>
      <c r="H162" s="103">
        <v>45753</v>
      </c>
      <c r="I162" s="75">
        <f>IFERROR(VLOOKUP(Table1[[#This Row],[Date]],Table3[[Date]:[Sunset Time (POA&lt;20 W/m2)]],3,0),"")</f>
        <v>0.26111111111111113</v>
      </c>
      <c r="J162" s="75">
        <f>IFERROR(VLOOKUP(Table1[[#This Row],[Date]],Table3[[Date]:[Sunset Time (POA&lt;20 W/m2)]],4,0),"")</f>
        <v>0.76944444444444449</v>
      </c>
      <c r="K162" s="76">
        <f>IFERROR((Table1[[#This Row],[Sunset Time (POA&lt;20 W/m2)]]-Table1[[#This Row],[Sunrise Time (POA&gt;20 W/m2)]])*24,"")</f>
        <v>12.2</v>
      </c>
      <c r="L162" s="107" t="s">
        <v>231</v>
      </c>
      <c r="M162" s="61">
        <f>VLOOKUP(Table1[[#This Row],[Affceted Equipment]],'Basic Data'!$A$2:$C$818,2,0)</f>
        <v>669.6</v>
      </c>
      <c r="N162" s="92">
        <f>IFERROR(VLOOKUP(Table1[[#This Row],[Affceted Equipment]],'Basic Data'!$A$2:$C$818,3,0),"")</f>
        <v>8.348190352703562E-2</v>
      </c>
      <c r="O162" s="115" t="s">
        <v>323</v>
      </c>
      <c r="P162" s="93" t="s">
        <v>1088</v>
      </c>
      <c r="Q162" s="93"/>
      <c r="R162" s="93" t="s">
        <v>1088</v>
      </c>
      <c r="S162" s="91">
        <v>0.51944444444444449</v>
      </c>
      <c r="T162" s="116"/>
      <c r="U162" s="116"/>
      <c r="V162" s="91">
        <v>0.53402777777777777</v>
      </c>
      <c r="W162" s="88">
        <f>IF(Table1[[#This Row],[Acknowledgemnet Time ]]="NA","",(Table1[[#This Row],[Acknowledgemnet Time ]]-Table1[[#This Row],[Fault Time]])*24)</f>
        <v>-12.466666666666669</v>
      </c>
      <c r="X162" s="88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89">
        <f>IFERROR(Table1[[#This Row],[Breakdown Time]]*Table1[[#This Row],[Plant Equivalent Weightage]],"")</f>
        <v>2.9218666234462363E-2</v>
      </c>
      <c r="AD162" s="2">
        <v>0.3</v>
      </c>
      <c r="AE162" s="88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4">
        <f>YEAR(Table1[[#This Row],[Date]])+IF(MONTH(Table1[[#This Row],[Date]])&gt;=4,1,0)</f>
        <v>2026</v>
      </c>
      <c r="C163" s="73">
        <f>YEAR(Table1[[#This Row],[Date]])</f>
        <v>2025</v>
      </c>
      <c r="D163" s="73" t="s">
        <v>1082</v>
      </c>
      <c r="E163" s="73" t="s">
        <v>1082</v>
      </c>
      <c r="F163" s="170">
        <f>Table1[[#This Row],[Date]]-DAY(Table1[[#This Row],[Date]])+1</f>
        <v>45748</v>
      </c>
      <c r="G163">
        <f>DAY(EOMONTH(Table1[[#This Row],[Month Year]],0))</f>
        <v>30</v>
      </c>
      <c r="H163" s="103">
        <v>45753</v>
      </c>
      <c r="I163" s="75">
        <f>IFERROR(VLOOKUP(Table1[[#This Row],[Date]],Table3[[Date]:[Sunset Time (POA&lt;20 W/m2)]],3,0),"")</f>
        <v>0.26111111111111113</v>
      </c>
      <c r="J163" s="75">
        <f>IFERROR(VLOOKUP(Table1[[#This Row],[Date]],Table3[[Date]:[Sunset Time (POA&lt;20 W/m2)]],4,0),"")</f>
        <v>0.76944444444444449</v>
      </c>
      <c r="K163" s="76">
        <f>IFERROR((Table1[[#This Row],[Sunset Time (POA&lt;20 W/m2)]]-Table1[[#This Row],[Sunrise Time (POA&gt;20 W/m2)]])*24,"")</f>
        <v>12.2</v>
      </c>
      <c r="L163" s="107" t="s">
        <v>232</v>
      </c>
      <c r="M163" s="61">
        <f>VLOOKUP(Table1[[#This Row],[Affceted Equipment]],'Basic Data'!$A$2:$C$818,2,0)</f>
        <v>669.6</v>
      </c>
      <c r="N163" s="92">
        <f>IFERROR(VLOOKUP(Table1[[#This Row],[Affceted Equipment]],'Basic Data'!$A$2:$C$818,3,0),"")</f>
        <v>8.348190352703562E-2</v>
      </c>
      <c r="O163" s="115" t="s">
        <v>323</v>
      </c>
      <c r="P163" s="93" t="s">
        <v>1090</v>
      </c>
      <c r="Q163" s="93"/>
      <c r="R163" s="93" t="s">
        <v>1090</v>
      </c>
      <c r="S163" s="91">
        <v>0.51944444444444449</v>
      </c>
      <c r="T163" s="116"/>
      <c r="U163" s="116"/>
      <c r="V163" s="91">
        <v>0.53402777777777777</v>
      </c>
      <c r="W163" s="88">
        <f>IF(Table1[[#This Row],[Acknowledgemnet Time ]]="NA","",(Table1[[#This Row],[Acknowledgemnet Time ]]-Table1[[#This Row],[Fault Time]])*24)</f>
        <v>-12.466666666666669</v>
      </c>
      <c r="X163" s="88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89">
        <f>IFERROR(Table1[[#This Row],[Breakdown Time]]*Table1[[#This Row],[Plant Equivalent Weightage]],"")</f>
        <v>2.9218666234462363E-2</v>
      </c>
      <c r="AD163" s="2">
        <v>0.3</v>
      </c>
      <c r="AE163" s="88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4">
        <f>YEAR(Table1[[#This Row],[Date]])+IF(MONTH(Table1[[#This Row],[Date]])&gt;=4,1,0)</f>
        <v>2026</v>
      </c>
      <c r="C164" s="73">
        <f>YEAR(Table1[[#This Row],[Date]])</f>
        <v>2025</v>
      </c>
      <c r="D164" s="73" t="s">
        <v>1082</v>
      </c>
      <c r="E164" s="73" t="s">
        <v>1082</v>
      </c>
      <c r="F164" s="170">
        <f>Table1[[#This Row],[Date]]-DAY(Table1[[#This Row],[Date]])+1</f>
        <v>45748</v>
      </c>
      <c r="G164">
        <f>DAY(EOMONTH(Table1[[#This Row],[Month Year]],0))</f>
        <v>30</v>
      </c>
      <c r="H164" s="103">
        <v>45753</v>
      </c>
      <c r="I164" s="75">
        <f>IFERROR(VLOOKUP(Table1[[#This Row],[Date]],Table3[[Date]:[Sunset Time (POA&lt;20 W/m2)]],3,0),"")</f>
        <v>0.26111111111111113</v>
      </c>
      <c r="J164" s="75">
        <f>IFERROR(VLOOKUP(Table1[[#This Row],[Date]],Table3[[Date]:[Sunset Time (POA&lt;20 W/m2)]],4,0),"")</f>
        <v>0.76944444444444449</v>
      </c>
      <c r="K164" s="76">
        <f>IFERROR((Table1[[#This Row],[Sunset Time (POA&lt;20 W/m2)]]-Table1[[#This Row],[Sunrise Time (POA&gt;20 W/m2)]])*24,"")</f>
        <v>12.2</v>
      </c>
      <c r="L164" s="107" t="s">
        <v>180</v>
      </c>
      <c r="M164" s="61">
        <f>VLOOKUP(Table1[[#This Row],[Affceted Equipment]],'Basic Data'!$A$2:$C$818,2,0)</f>
        <v>2694.6</v>
      </c>
      <c r="N164" s="92">
        <f>IFERROR(VLOOKUP(Table1[[#This Row],[Affceted Equipment]],'Basic Data'!$A$2:$C$818,3,0),"")</f>
        <v>0.33594733758057077</v>
      </c>
      <c r="O164" s="115" t="s">
        <v>323</v>
      </c>
      <c r="P164" s="93" t="s">
        <v>1089</v>
      </c>
      <c r="Q164" s="93"/>
      <c r="R164" s="93" t="s">
        <v>1089</v>
      </c>
      <c r="S164" s="91">
        <v>0.53402777777777777</v>
      </c>
      <c r="T164" s="116"/>
      <c r="U164" s="116"/>
      <c r="V164" s="91">
        <v>0.54027777777777775</v>
      </c>
      <c r="W164" s="88">
        <f>IF(Table1[[#This Row],[Acknowledgemnet Time ]]="NA","",(Table1[[#This Row],[Acknowledgemnet Time ]]-Table1[[#This Row],[Fault Time]])*24)</f>
        <v>-12.816666666666666</v>
      </c>
      <c r="X164" s="88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89">
        <f>IFERROR(Table1[[#This Row],[Breakdown Time]]*Table1[[#This Row],[Plant Equivalent Weightage]],"")</f>
        <v>5.0392100637085435E-2</v>
      </c>
      <c r="AD164" s="2">
        <v>0.05</v>
      </c>
      <c r="AE164" s="88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4">
        <f>YEAR(Table1[[#This Row],[Date]])+IF(MONTH(Table1[[#This Row],[Date]])&gt;=4,1,0)</f>
        <v>2026</v>
      </c>
      <c r="C165" s="73">
        <f>YEAR(Table1[[#This Row],[Date]])</f>
        <v>2025</v>
      </c>
      <c r="D165" s="73" t="s">
        <v>1082</v>
      </c>
      <c r="E165" s="73" t="s">
        <v>1082</v>
      </c>
      <c r="F165" s="170">
        <f>Table1[[#This Row],[Date]]-DAY(Table1[[#This Row],[Date]])+1</f>
        <v>45748</v>
      </c>
      <c r="G165">
        <f>DAY(EOMONTH(Table1[[#This Row],[Month Year]],0))</f>
        <v>30</v>
      </c>
      <c r="H165" s="103">
        <v>45753</v>
      </c>
      <c r="I165" s="75">
        <f>IFERROR(VLOOKUP(Table1[[#This Row],[Date]],Table3[[Date]:[Sunset Time (POA&lt;20 W/m2)]],3,0),"")</f>
        <v>0.26111111111111113</v>
      </c>
      <c r="J165" s="75">
        <f>IFERROR(VLOOKUP(Table1[[#This Row],[Date]],Table3[[Date]:[Sunset Time (POA&lt;20 W/m2)]],4,0),"")</f>
        <v>0.76944444444444449</v>
      </c>
      <c r="K165" s="76">
        <f>IFERROR((Table1[[#This Row],[Sunset Time (POA&lt;20 W/m2)]]-Table1[[#This Row],[Sunrise Time (POA&gt;20 W/m2)]])*24,"")</f>
        <v>12.2</v>
      </c>
      <c r="L165" s="107" t="s">
        <v>231</v>
      </c>
      <c r="M165" s="61">
        <f>VLOOKUP(Table1[[#This Row],[Affceted Equipment]],'Basic Data'!$A$2:$C$818,2,0)</f>
        <v>669.6</v>
      </c>
      <c r="N165" s="92">
        <f>IFERROR(VLOOKUP(Table1[[#This Row],[Affceted Equipment]],'Basic Data'!$A$2:$C$818,3,0),"")</f>
        <v>8.348190352703562E-2</v>
      </c>
      <c r="O165" s="115" t="s">
        <v>323</v>
      </c>
      <c r="P165" s="93" t="s">
        <v>1088</v>
      </c>
      <c r="Q165" s="93"/>
      <c r="R165" s="93" t="s">
        <v>1088</v>
      </c>
      <c r="S165" s="91">
        <v>0.54027777777777775</v>
      </c>
      <c r="T165" s="116"/>
      <c r="U165" s="116"/>
      <c r="V165" s="91">
        <v>0.55000000000000004</v>
      </c>
      <c r="W165" s="88">
        <f>IF(Table1[[#This Row],[Acknowledgemnet Time ]]="NA","",(Table1[[#This Row],[Acknowledgemnet Time ]]-Table1[[#This Row],[Fault Time]])*24)</f>
        <v>-12.966666666666665</v>
      </c>
      <c r="X165" s="88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89">
        <f>IFERROR(Table1[[#This Row],[Breakdown Time]]*Table1[[#This Row],[Plant Equivalent Weightage]],"")</f>
        <v>1.947911082297513E-2</v>
      </c>
      <c r="AD165" s="2">
        <v>0.23</v>
      </c>
      <c r="AE165" s="88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4">
        <f>YEAR(Table1[[#This Row],[Date]])+IF(MONTH(Table1[[#This Row],[Date]])&gt;=4,1,0)</f>
        <v>2026</v>
      </c>
      <c r="C166" s="73">
        <f>YEAR(Table1[[#This Row],[Date]])</f>
        <v>2025</v>
      </c>
      <c r="D166" s="73" t="s">
        <v>1082</v>
      </c>
      <c r="E166" s="73" t="s">
        <v>1082</v>
      </c>
      <c r="F166" s="170">
        <f>Table1[[#This Row],[Date]]-DAY(Table1[[#This Row],[Date]])+1</f>
        <v>45748</v>
      </c>
      <c r="G166">
        <f>DAY(EOMONTH(Table1[[#This Row],[Month Year]],0))</f>
        <v>30</v>
      </c>
      <c r="H166" s="103">
        <v>45753</v>
      </c>
      <c r="I166" s="75">
        <f>IFERROR(VLOOKUP(Table1[[#This Row],[Date]],Table3[[Date]:[Sunset Time (POA&lt;20 W/m2)]],3,0),"")</f>
        <v>0.26111111111111113</v>
      </c>
      <c r="J166" s="75">
        <f>IFERROR(VLOOKUP(Table1[[#This Row],[Date]],Table3[[Date]:[Sunset Time (POA&lt;20 W/m2)]],4,0),"")</f>
        <v>0.76944444444444449</v>
      </c>
      <c r="K166" s="76">
        <f>IFERROR((Table1[[#This Row],[Sunset Time (POA&lt;20 W/m2)]]-Table1[[#This Row],[Sunrise Time (POA&gt;20 W/m2)]])*24,"")</f>
        <v>12.2</v>
      </c>
      <c r="L166" s="107" t="s">
        <v>232</v>
      </c>
      <c r="M166" s="61">
        <f>VLOOKUP(Table1[[#This Row],[Affceted Equipment]],'Basic Data'!$A$2:$C$818,2,0)</f>
        <v>669.6</v>
      </c>
      <c r="N166" s="92">
        <f>IFERROR(VLOOKUP(Table1[[#This Row],[Affceted Equipment]],'Basic Data'!$A$2:$C$818,3,0),"")</f>
        <v>8.348190352703562E-2</v>
      </c>
      <c r="O166" s="115" t="s">
        <v>323</v>
      </c>
      <c r="P166" s="93" t="s">
        <v>1090</v>
      </c>
      <c r="Q166" s="93"/>
      <c r="R166" s="93" t="s">
        <v>1090</v>
      </c>
      <c r="S166" s="91">
        <v>0.54027777777777775</v>
      </c>
      <c r="T166" s="116"/>
      <c r="U166" s="116"/>
      <c r="V166" s="91">
        <v>0.55000000000000004</v>
      </c>
      <c r="W166" s="88">
        <f>IF(Table1[[#This Row],[Acknowledgemnet Time ]]="NA","",(Table1[[#This Row],[Acknowledgemnet Time ]]-Table1[[#This Row],[Fault Time]])*24)</f>
        <v>-12.966666666666665</v>
      </c>
      <c r="X166" s="88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89">
        <f>IFERROR(Table1[[#This Row],[Breakdown Time]]*Table1[[#This Row],[Plant Equivalent Weightage]],"")</f>
        <v>1.947911082297513E-2</v>
      </c>
      <c r="AD166" s="2">
        <v>0.23</v>
      </c>
      <c r="AE166" s="88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4">
        <f>YEAR(Table1[[#This Row],[Date]])+IF(MONTH(Table1[[#This Row],[Date]])&gt;=4,1,0)</f>
        <v>2026</v>
      </c>
      <c r="C167" s="73">
        <f>YEAR(Table1[[#This Row],[Date]])</f>
        <v>2025</v>
      </c>
      <c r="D167" s="73" t="s">
        <v>1082</v>
      </c>
      <c r="E167" s="73" t="s">
        <v>1082</v>
      </c>
      <c r="F167" s="170">
        <f>Table1[[#This Row],[Date]]-DAY(Table1[[#This Row],[Date]])+1</f>
        <v>45748</v>
      </c>
      <c r="G167">
        <f>DAY(EOMONTH(Table1[[#This Row],[Month Year]],0))</f>
        <v>30</v>
      </c>
      <c r="H167" s="103">
        <v>45753</v>
      </c>
      <c r="I167" s="75">
        <f>IFERROR(VLOOKUP(Table1[[#This Row],[Date]],Table3[[Date]:[Sunset Time (POA&lt;20 W/m2)]],3,0),"")</f>
        <v>0.26111111111111113</v>
      </c>
      <c r="J167" s="75">
        <f>IFERROR(VLOOKUP(Table1[[#This Row],[Date]],Table3[[Date]:[Sunset Time (POA&lt;20 W/m2)]],4,0),"")</f>
        <v>0.76944444444444449</v>
      </c>
      <c r="K167" s="76">
        <f>IFERROR((Table1[[#This Row],[Sunset Time (POA&lt;20 W/m2)]]-Table1[[#This Row],[Sunrise Time (POA&gt;20 W/m2)]])*24,"")</f>
        <v>12.2</v>
      </c>
      <c r="L167" s="107" t="s">
        <v>180</v>
      </c>
      <c r="M167" s="61">
        <f>VLOOKUP(Table1[[#This Row],[Affceted Equipment]],'Basic Data'!$A$2:$C$818,2,0)</f>
        <v>2694.6</v>
      </c>
      <c r="N167" s="92">
        <f>IFERROR(VLOOKUP(Table1[[#This Row],[Affceted Equipment]],'Basic Data'!$A$2:$C$818,3,0),"")</f>
        <v>0.33594733758057077</v>
      </c>
      <c r="O167" s="115" t="s">
        <v>323</v>
      </c>
      <c r="P167" s="93" t="s">
        <v>1089</v>
      </c>
      <c r="Q167" s="93"/>
      <c r="R167" s="93" t="s">
        <v>1089</v>
      </c>
      <c r="S167" s="91">
        <v>0.55000000000000004</v>
      </c>
      <c r="T167" s="116"/>
      <c r="U167" s="116"/>
      <c r="V167" s="91">
        <v>0.56111111111111112</v>
      </c>
      <c r="W167" s="88">
        <f>IF(Table1[[#This Row],[Acknowledgemnet Time ]]="NA","",(Table1[[#This Row],[Acknowledgemnet Time ]]-Table1[[#This Row],[Fault Time]])*24)</f>
        <v>-13.200000000000001</v>
      </c>
      <c r="X167" s="88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89">
        <f>IFERROR(Table1[[#This Row],[Breakdown Time]]*Table1[[#This Row],[Plant Equivalent Weightage]],"")</f>
        <v>8.9585956688151891E-2</v>
      </c>
      <c r="AD167" s="2">
        <v>0.18</v>
      </c>
      <c r="AE167" s="88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4">
        <f>YEAR(Table1[[#This Row],[Date]])+IF(MONTH(Table1[[#This Row],[Date]])&gt;=4,1,0)</f>
        <v>2026</v>
      </c>
      <c r="C168" s="73">
        <f>YEAR(Table1[[#This Row],[Date]])</f>
        <v>2025</v>
      </c>
      <c r="D168" s="73" t="s">
        <v>1082</v>
      </c>
      <c r="E168" s="73" t="s">
        <v>1082</v>
      </c>
      <c r="F168" s="170">
        <f>Table1[[#This Row],[Date]]-DAY(Table1[[#This Row],[Date]])+1</f>
        <v>45748</v>
      </c>
      <c r="G168">
        <f>DAY(EOMONTH(Table1[[#This Row],[Month Year]],0))</f>
        <v>30</v>
      </c>
      <c r="H168" s="103">
        <v>45753</v>
      </c>
      <c r="I168" s="75">
        <f>IFERROR(VLOOKUP(Table1[[#This Row],[Date]],Table3[[Date]:[Sunset Time (POA&lt;20 W/m2)]],3,0),"")</f>
        <v>0.26111111111111113</v>
      </c>
      <c r="J168" s="75">
        <f>IFERROR(VLOOKUP(Table1[[#This Row],[Date]],Table3[[Date]:[Sunset Time (POA&lt;20 W/m2)]],4,0),"")</f>
        <v>0.76944444444444449</v>
      </c>
      <c r="K168" s="76">
        <f>IFERROR((Table1[[#This Row],[Sunset Time (POA&lt;20 W/m2)]]-Table1[[#This Row],[Sunrise Time (POA&gt;20 W/m2)]])*24,"")</f>
        <v>12.2</v>
      </c>
      <c r="L168" s="107" t="s">
        <v>231</v>
      </c>
      <c r="M168" s="61">
        <f>VLOOKUP(Table1[[#This Row],[Affceted Equipment]],'Basic Data'!$A$2:$C$818,2,0)</f>
        <v>669.6</v>
      </c>
      <c r="N168" s="92">
        <f>IFERROR(VLOOKUP(Table1[[#This Row],[Affceted Equipment]],'Basic Data'!$A$2:$C$818,3,0),"")</f>
        <v>8.348190352703562E-2</v>
      </c>
      <c r="O168" s="115" t="s">
        <v>323</v>
      </c>
      <c r="P168" s="93" t="s">
        <v>1088</v>
      </c>
      <c r="Q168" s="93"/>
      <c r="R168" s="93" t="s">
        <v>1088</v>
      </c>
      <c r="S168" s="91">
        <v>0.56111111111111112</v>
      </c>
      <c r="T168" s="116"/>
      <c r="U168" s="116"/>
      <c r="V168" s="91">
        <v>0.57013888888888886</v>
      </c>
      <c r="W168" s="88">
        <f>IF(Table1[[#This Row],[Acknowledgemnet Time ]]="NA","",(Table1[[#This Row],[Acknowledgemnet Time ]]-Table1[[#This Row],[Fault Time]])*24)</f>
        <v>-13.466666666666667</v>
      </c>
      <c r="X168" s="88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89">
        <f>IFERROR(Table1[[#This Row],[Breakdown Time]]*Table1[[#This Row],[Plant Equivalent Weightage]],"")</f>
        <v>1.8087745764190987E-2</v>
      </c>
      <c r="AD168" s="2">
        <v>0.21</v>
      </c>
      <c r="AE168" s="88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4">
        <f>YEAR(Table1[[#This Row],[Date]])+IF(MONTH(Table1[[#This Row],[Date]])&gt;=4,1,0)</f>
        <v>2026</v>
      </c>
      <c r="C169" s="73">
        <f>YEAR(Table1[[#This Row],[Date]])</f>
        <v>2025</v>
      </c>
      <c r="D169" s="73" t="s">
        <v>1082</v>
      </c>
      <c r="E169" s="73" t="s">
        <v>1082</v>
      </c>
      <c r="F169" s="170">
        <f>Table1[[#This Row],[Date]]-DAY(Table1[[#This Row],[Date]])+1</f>
        <v>45748</v>
      </c>
      <c r="G169">
        <f>DAY(EOMONTH(Table1[[#This Row],[Month Year]],0))</f>
        <v>30</v>
      </c>
      <c r="H169" s="103">
        <v>45753</v>
      </c>
      <c r="I169" s="75">
        <f>IFERROR(VLOOKUP(Table1[[#This Row],[Date]],Table3[[Date]:[Sunset Time (POA&lt;20 W/m2)]],3,0),"")</f>
        <v>0.26111111111111113</v>
      </c>
      <c r="J169" s="75">
        <f>IFERROR(VLOOKUP(Table1[[#This Row],[Date]],Table3[[Date]:[Sunset Time (POA&lt;20 W/m2)]],4,0),"")</f>
        <v>0.76944444444444449</v>
      </c>
      <c r="K169" s="76">
        <f>IFERROR((Table1[[#This Row],[Sunset Time (POA&lt;20 W/m2)]]-Table1[[#This Row],[Sunrise Time (POA&gt;20 W/m2)]])*24,"")</f>
        <v>12.2</v>
      </c>
      <c r="L169" s="107" t="s">
        <v>232</v>
      </c>
      <c r="M169" s="61">
        <f>VLOOKUP(Table1[[#This Row],[Affceted Equipment]],'Basic Data'!$A$2:$C$818,2,0)</f>
        <v>669.6</v>
      </c>
      <c r="N169" s="92">
        <f>IFERROR(VLOOKUP(Table1[[#This Row],[Affceted Equipment]],'Basic Data'!$A$2:$C$818,3,0),"")</f>
        <v>8.348190352703562E-2</v>
      </c>
      <c r="O169" s="115" t="s">
        <v>323</v>
      </c>
      <c r="P169" s="93" t="s">
        <v>1090</v>
      </c>
      <c r="Q169" s="93"/>
      <c r="R169" s="93" t="s">
        <v>1090</v>
      </c>
      <c r="S169" s="91">
        <v>0.56111111111111112</v>
      </c>
      <c r="T169" s="116"/>
      <c r="U169" s="116"/>
      <c r="V169" s="91">
        <v>0.57013888888888886</v>
      </c>
      <c r="W169" s="88">
        <f>IF(Table1[[#This Row],[Acknowledgemnet Time ]]="NA","",(Table1[[#This Row],[Acknowledgemnet Time ]]-Table1[[#This Row],[Fault Time]])*24)</f>
        <v>-13.466666666666667</v>
      </c>
      <c r="X169" s="88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89">
        <f>IFERROR(Table1[[#This Row],[Breakdown Time]]*Table1[[#This Row],[Plant Equivalent Weightage]],"")</f>
        <v>1.8087745764190987E-2</v>
      </c>
      <c r="AD169" s="2">
        <v>0.21</v>
      </c>
      <c r="AE169" s="88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4">
        <f>YEAR(Table1[[#This Row],[Date]])+IF(MONTH(Table1[[#This Row],[Date]])&gt;=4,1,0)</f>
        <v>2026</v>
      </c>
      <c r="C170" s="73">
        <f>YEAR(Table1[[#This Row],[Date]])</f>
        <v>2025</v>
      </c>
      <c r="D170" s="73" t="s">
        <v>1082</v>
      </c>
      <c r="E170" s="73" t="s">
        <v>1082</v>
      </c>
      <c r="F170" s="170">
        <f>Table1[[#This Row],[Date]]-DAY(Table1[[#This Row],[Date]])+1</f>
        <v>45748</v>
      </c>
      <c r="G170">
        <f>DAY(EOMONTH(Table1[[#This Row],[Month Year]],0))</f>
        <v>30</v>
      </c>
      <c r="H170" s="103">
        <v>45753</v>
      </c>
      <c r="I170" s="75">
        <f>IFERROR(VLOOKUP(Table1[[#This Row],[Date]],Table3[[Date]:[Sunset Time (POA&lt;20 W/m2)]],3,0),"")</f>
        <v>0.26111111111111113</v>
      </c>
      <c r="J170" s="75">
        <f>IFERROR(VLOOKUP(Table1[[#This Row],[Date]],Table3[[Date]:[Sunset Time (POA&lt;20 W/m2)]],4,0),"")</f>
        <v>0.76944444444444449</v>
      </c>
      <c r="K170" s="76">
        <f>IFERROR((Table1[[#This Row],[Sunset Time (POA&lt;20 W/m2)]]-Table1[[#This Row],[Sunrise Time (POA&gt;20 W/m2)]])*24,"")</f>
        <v>12.2</v>
      </c>
      <c r="L170" s="107" t="s">
        <v>180</v>
      </c>
      <c r="M170" s="61">
        <f>VLOOKUP(Table1[[#This Row],[Affceted Equipment]],'Basic Data'!$A$2:$C$818,2,0)</f>
        <v>2694.6</v>
      </c>
      <c r="N170" s="92">
        <f>IFERROR(VLOOKUP(Table1[[#This Row],[Affceted Equipment]],'Basic Data'!$A$2:$C$818,3,0),"")</f>
        <v>0.33594733758057077</v>
      </c>
      <c r="O170" s="115" t="s">
        <v>323</v>
      </c>
      <c r="P170" s="93" t="s">
        <v>1089</v>
      </c>
      <c r="Q170" s="93"/>
      <c r="R170" s="93" t="s">
        <v>1089</v>
      </c>
      <c r="S170" s="91">
        <v>0.57013888888888886</v>
      </c>
      <c r="T170" s="116"/>
      <c r="U170" s="116"/>
      <c r="V170" s="91">
        <v>0.57708333333333328</v>
      </c>
      <c r="W170" s="88">
        <f>IF(Table1[[#This Row],[Acknowledgemnet Time ]]="NA","",(Table1[[#This Row],[Acknowledgemnet Time ]]-Table1[[#This Row],[Fault Time]])*24)</f>
        <v>-13.683333333333334</v>
      </c>
      <c r="X170" s="88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89">
        <f>IFERROR(Table1[[#This Row],[Breakdown Time]]*Table1[[#This Row],[Plant Equivalent Weightage]],"")</f>
        <v>5.5991222930094932E-2</v>
      </c>
      <c r="AD170" s="2">
        <v>0.17</v>
      </c>
      <c r="AE170" s="88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4">
        <f>YEAR(Table1[[#This Row],[Date]])+IF(MONTH(Table1[[#This Row],[Date]])&gt;=4,1,0)</f>
        <v>2026</v>
      </c>
      <c r="C171" s="73">
        <f>YEAR(Table1[[#This Row],[Date]])</f>
        <v>2025</v>
      </c>
      <c r="D171" s="73" t="s">
        <v>1082</v>
      </c>
      <c r="E171" s="73" t="s">
        <v>1082</v>
      </c>
      <c r="F171" s="170">
        <f>Table1[[#This Row],[Date]]-DAY(Table1[[#This Row],[Date]])+1</f>
        <v>45748</v>
      </c>
      <c r="G171">
        <f>DAY(EOMONTH(Table1[[#This Row],[Month Year]],0))</f>
        <v>30</v>
      </c>
      <c r="H171" s="103">
        <v>45753</v>
      </c>
      <c r="I171" s="75">
        <f>IFERROR(VLOOKUP(Table1[[#This Row],[Date]],Table3[[Date]:[Sunset Time (POA&lt;20 W/m2)]],3,0),"")</f>
        <v>0.26111111111111113</v>
      </c>
      <c r="J171" s="75">
        <f>IFERROR(VLOOKUP(Table1[[#This Row],[Date]],Table3[[Date]:[Sunset Time (POA&lt;20 W/m2)]],4,0),"")</f>
        <v>0.76944444444444449</v>
      </c>
      <c r="K171" s="76">
        <f>IFERROR((Table1[[#This Row],[Sunset Time (POA&lt;20 W/m2)]]-Table1[[#This Row],[Sunrise Time (POA&gt;20 W/m2)]])*24,"")</f>
        <v>12.2</v>
      </c>
      <c r="L171" s="107" t="s">
        <v>231</v>
      </c>
      <c r="M171" s="61">
        <f>VLOOKUP(Table1[[#This Row],[Affceted Equipment]],'Basic Data'!$A$2:$C$818,2,0)</f>
        <v>669.6</v>
      </c>
      <c r="N171" s="92">
        <f>IFERROR(VLOOKUP(Table1[[#This Row],[Affceted Equipment]],'Basic Data'!$A$2:$C$818,3,0),"")</f>
        <v>8.348190352703562E-2</v>
      </c>
      <c r="O171" s="115" t="s">
        <v>323</v>
      </c>
      <c r="P171" s="93" t="s">
        <v>1088</v>
      </c>
      <c r="Q171" s="93"/>
      <c r="R171" s="93" t="s">
        <v>1088</v>
      </c>
      <c r="S171" s="91">
        <v>0.57708333333333328</v>
      </c>
      <c r="T171" s="116"/>
      <c r="U171" s="116"/>
      <c r="V171" s="91">
        <v>0.59236111111111112</v>
      </c>
      <c r="W171" s="88">
        <f>IF(Table1[[#This Row],[Acknowledgemnet Time ]]="NA","",(Table1[[#This Row],[Acknowledgemnet Time ]]-Table1[[#This Row],[Fault Time]])*24)</f>
        <v>-13.849999999999998</v>
      </c>
      <c r="X171" s="88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89">
        <f>IFERROR(Table1[[#This Row],[Breakdown Time]]*Table1[[#This Row],[Plant Equivalent Weightage]],"")</f>
        <v>3.0610031293246506E-2</v>
      </c>
      <c r="AD171" s="2">
        <v>0.35</v>
      </c>
      <c r="AE171" s="88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4">
        <f>YEAR(Table1[[#This Row],[Date]])+IF(MONTH(Table1[[#This Row],[Date]])&gt;=4,1,0)</f>
        <v>2026</v>
      </c>
      <c r="C172" s="73">
        <f>YEAR(Table1[[#This Row],[Date]])</f>
        <v>2025</v>
      </c>
      <c r="D172" s="73" t="s">
        <v>1082</v>
      </c>
      <c r="E172" s="73" t="s">
        <v>1082</v>
      </c>
      <c r="F172" s="170">
        <f>Table1[[#This Row],[Date]]-DAY(Table1[[#This Row],[Date]])+1</f>
        <v>45748</v>
      </c>
      <c r="G172">
        <f>DAY(EOMONTH(Table1[[#This Row],[Month Year]],0))</f>
        <v>30</v>
      </c>
      <c r="H172" s="103">
        <v>45753</v>
      </c>
      <c r="I172" s="75">
        <f>IFERROR(VLOOKUP(Table1[[#This Row],[Date]],Table3[[Date]:[Sunset Time (POA&lt;20 W/m2)]],3,0),"")</f>
        <v>0.26111111111111113</v>
      </c>
      <c r="J172" s="75">
        <f>IFERROR(VLOOKUP(Table1[[#This Row],[Date]],Table3[[Date]:[Sunset Time (POA&lt;20 W/m2)]],4,0),"")</f>
        <v>0.76944444444444449</v>
      </c>
      <c r="K172" s="76">
        <f>IFERROR((Table1[[#This Row],[Sunset Time (POA&lt;20 W/m2)]]-Table1[[#This Row],[Sunrise Time (POA&gt;20 W/m2)]])*24,"")</f>
        <v>12.2</v>
      </c>
      <c r="L172" s="107" t="s">
        <v>232</v>
      </c>
      <c r="M172" s="61">
        <f>VLOOKUP(Table1[[#This Row],[Affceted Equipment]],'Basic Data'!$A$2:$C$818,2,0)</f>
        <v>669.6</v>
      </c>
      <c r="N172" s="92">
        <f>IFERROR(VLOOKUP(Table1[[#This Row],[Affceted Equipment]],'Basic Data'!$A$2:$C$818,3,0),"")</f>
        <v>8.348190352703562E-2</v>
      </c>
      <c r="O172" s="115" t="s">
        <v>323</v>
      </c>
      <c r="P172" s="93" t="s">
        <v>1090</v>
      </c>
      <c r="Q172" s="93"/>
      <c r="R172" s="93" t="s">
        <v>1090</v>
      </c>
      <c r="S172" s="91">
        <v>0.57708333333333328</v>
      </c>
      <c r="T172" s="116"/>
      <c r="U172" s="116"/>
      <c r="V172" s="91">
        <v>0.59236111111111112</v>
      </c>
      <c r="W172" s="88">
        <f>IF(Table1[[#This Row],[Acknowledgemnet Time ]]="NA","",(Table1[[#This Row],[Acknowledgemnet Time ]]-Table1[[#This Row],[Fault Time]])*24)</f>
        <v>-13.849999999999998</v>
      </c>
      <c r="X172" s="88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89">
        <f>IFERROR(Table1[[#This Row],[Breakdown Time]]*Table1[[#This Row],[Plant Equivalent Weightage]],"")</f>
        <v>3.0610031293246506E-2</v>
      </c>
      <c r="AD172" s="2">
        <v>0.35</v>
      </c>
      <c r="AE172" s="88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4">
        <f>YEAR(Table1[[#This Row],[Date]])+IF(MONTH(Table1[[#This Row],[Date]])&gt;=4,1,0)</f>
        <v>2026</v>
      </c>
      <c r="C173" s="73">
        <f>YEAR(Table1[[#This Row],[Date]])</f>
        <v>2025</v>
      </c>
      <c r="D173" s="73" t="s">
        <v>1082</v>
      </c>
      <c r="E173" s="73" t="s">
        <v>1082</v>
      </c>
      <c r="F173" s="170">
        <f>Table1[[#This Row],[Date]]-DAY(Table1[[#This Row],[Date]])+1</f>
        <v>45748</v>
      </c>
      <c r="G173">
        <f>DAY(EOMONTH(Table1[[#This Row],[Month Year]],0))</f>
        <v>30</v>
      </c>
      <c r="H173" s="103">
        <v>45753</v>
      </c>
      <c r="I173" s="75">
        <f>IFERROR(VLOOKUP(Table1[[#This Row],[Date]],Table3[[Date]:[Sunset Time (POA&lt;20 W/m2)]],3,0),"")</f>
        <v>0.26111111111111113</v>
      </c>
      <c r="J173" s="75">
        <f>IFERROR(VLOOKUP(Table1[[#This Row],[Date]],Table3[[Date]:[Sunset Time (POA&lt;20 W/m2)]],4,0),"")</f>
        <v>0.76944444444444449</v>
      </c>
      <c r="K173" s="76">
        <f>IFERROR((Table1[[#This Row],[Sunset Time (POA&lt;20 W/m2)]]-Table1[[#This Row],[Sunrise Time (POA&gt;20 W/m2)]])*24,"")</f>
        <v>12.2</v>
      </c>
      <c r="L173" s="107" t="s">
        <v>180</v>
      </c>
      <c r="M173" s="61">
        <f>VLOOKUP(Table1[[#This Row],[Affceted Equipment]],'Basic Data'!$A$2:$C$818,2,0)</f>
        <v>2694.6</v>
      </c>
      <c r="N173" s="92">
        <f>IFERROR(VLOOKUP(Table1[[#This Row],[Affceted Equipment]],'Basic Data'!$A$2:$C$818,3,0),"")</f>
        <v>0.33594733758057077</v>
      </c>
      <c r="O173" s="115" t="s">
        <v>323</v>
      </c>
      <c r="P173" s="93" t="s">
        <v>1089</v>
      </c>
      <c r="Q173" s="93"/>
      <c r="R173" s="93" t="s">
        <v>1089</v>
      </c>
      <c r="S173" s="91">
        <v>0.59236111111111112</v>
      </c>
      <c r="T173" s="116"/>
      <c r="U173" s="116"/>
      <c r="V173" s="91">
        <v>0.59861111111111109</v>
      </c>
      <c r="W173" s="88">
        <f>IF(Table1[[#This Row],[Acknowledgemnet Time ]]="NA","",(Table1[[#This Row],[Acknowledgemnet Time ]]-Table1[[#This Row],[Fault Time]])*24)</f>
        <v>-14.216666666666667</v>
      </c>
      <c r="X173" s="88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89">
        <f>IFERROR(Table1[[#This Row],[Breakdown Time]]*Table1[[#This Row],[Plant Equivalent Weightage]],"")</f>
        <v>5.0392100637085435E-2</v>
      </c>
      <c r="AD173" s="2">
        <v>0.15</v>
      </c>
      <c r="AE173" s="88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4">
        <f>YEAR(Table1[[#This Row],[Date]])+IF(MONTH(Table1[[#This Row],[Date]])&gt;=4,1,0)</f>
        <v>2026</v>
      </c>
      <c r="C174" s="73">
        <f>YEAR(Table1[[#This Row],[Date]])</f>
        <v>2025</v>
      </c>
      <c r="D174" s="73" t="s">
        <v>1082</v>
      </c>
      <c r="E174" s="73" t="s">
        <v>1082</v>
      </c>
      <c r="F174" s="170">
        <f>Table1[[#This Row],[Date]]-DAY(Table1[[#This Row],[Date]])+1</f>
        <v>45748</v>
      </c>
      <c r="G174">
        <f>DAY(EOMONTH(Table1[[#This Row],[Month Year]],0))</f>
        <v>30</v>
      </c>
      <c r="H174" s="103">
        <v>45753</v>
      </c>
      <c r="I174" s="75">
        <f>IFERROR(VLOOKUP(Table1[[#This Row],[Date]],Table3[[Date]:[Sunset Time (POA&lt;20 W/m2)]],3,0),"")</f>
        <v>0.26111111111111113</v>
      </c>
      <c r="J174" s="75">
        <f>IFERROR(VLOOKUP(Table1[[#This Row],[Date]],Table3[[Date]:[Sunset Time (POA&lt;20 W/m2)]],4,0),"")</f>
        <v>0.76944444444444449</v>
      </c>
      <c r="K174" s="76">
        <f>IFERROR((Table1[[#This Row],[Sunset Time (POA&lt;20 W/m2)]]-Table1[[#This Row],[Sunrise Time (POA&gt;20 W/m2)]])*24,"")</f>
        <v>12.2</v>
      </c>
      <c r="L174" s="107" t="s">
        <v>231</v>
      </c>
      <c r="M174" s="61">
        <f>VLOOKUP(Table1[[#This Row],[Affceted Equipment]],'Basic Data'!$A$2:$C$818,2,0)</f>
        <v>669.6</v>
      </c>
      <c r="N174" s="92">
        <f>IFERROR(VLOOKUP(Table1[[#This Row],[Affceted Equipment]],'Basic Data'!$A$2:$C$818,3,0),"")</f>
        <v>8.348190352703562E-2</v>
      </c>
      <c r="O174" s="115" t="s">
        <v>323</v>
      </c>
      <c r="P174" s="93" t="s">
        <v>1088</v>
      </c>
      <c r="Q174" s="93"/>
      <c r="R174" s="93" t="s">
        <v>1088</v>
      </c>
      <c r="S174" s="91">
        <v>0.59861111111111109</v>
      </c>
      <c r="T174" s="116"/>
      <c r="U174" s="116"/>
      <c r="V174" s="91">
        <v>0.68888888888888888</v>
      </c>
      <c r="W174" s="88">
        <f>IF(Table1[[#This Row],[Acknowledgemnet Time ]]="NA","",(Table1[[#This Row],[Acknowledgemnet Time ]]-Table1[[#This Row],[Fault Time]])*24)</f>
        <v>-14.366666666666667</v>
      </c>
      <c r="X174" s="88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89">
        <f>IFERROR(Table1[[#This Row],[Breakdown Time]]*Table1[[#This Row],[Plant Equivalent Weightage]],"")</f>
        <v>0.18087745764191054</v>
      </c>
      <c r="AD174" s="2">
        <v>1.48</v>
      </c>
      <c r="AE174" s="88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4">
        <f>YEAR(Table1[[#This Row],[Date]])+IF(MONTH(Table1[[#This Row],[Date]])&gt;=4,1,0)</f>
        <v>2026</v>
      </c>
      <c r="C175" s="73">
        <f>YEAR(Table1[[#This Row],[Date]])</f>
        <v>2025</v>
      </c>
      <c r="D175" s="73" t="s">
        <v>1082</v>
      </c>
      <c r="E175" s="73" t="s">
        <v>1082</v>
      </c>
      <c r="F175" s="170">
        <f>Table1[[#This Row],[Date]]-DAY(Table1[[#This Row],[Date]])+1</f>
        <v>45748</v>
      </c>
      <c r="G175">
        <f>DAY(EOMONTH(Table1[[#This Row],[Month Year]],0))</f>
        <v>30</v>
      </c>
      <c r="H175" s="103">
        <v>45753</v>
      </c>
      <c r="I175" s="75">
        <f>IFERROR(VLOOKUP(Table1[[#This Row],[Date]],Table3[[Date]:[Sunset Time (POA&lt;20 W/m2)]],3,0),"")</f>
        <v>0.26111111111111113</v>
      </c>
      <c r="J175" s="75">
        <f>IFERROR(VLOOKUP(Table1[[#This Row],[Date]],Table3[[Date]:[Sunset Time (POA&lt;20 W/m2)]],4,0),"")</f>
        <v>0.76944444444444449</v>
      </c>
      <c r="K175" s="76">
        <f>IFERROR((Table1[[#This Row],[Sunset Time (POA&lt;20 W/m2)]]-Table1[[#This Row],[Sunrise Time (POA&gt;20 W/m2)]])*24,"")</f>
        <v>12.2</v>
      </c>
      <c r="L175" s="107" t="s">
        <v>232</v>
      </c>
      <c r="M175" s="61">
        <f>VLOOKUP(Table1[[#This Row],[Affceted Equipment]],'Basic Data'!$A$2:$C$818,2,0)</f>
        <v>669.6</v>
      </c>
      <c r="N175" s="92">
        <f>IFERROR(VLOOKUP(Table1[[#This Row],[Affceted Equipment]],'Basic Data'!$A$2:$C$818,3,0),"")</f>
        <v>8.348190352703562E-2</v>
      </c>
      <c r="O175" s="115" t="s">
        <v>323</v>
      </c>
      <c r="P175" s="93" t="s">
        <v>1090</v>
      </c>
      <c r="Q175" s="93"/>
      <c r="R175" s="93" t="s">
        <v>1090</v>
      </c>
      <c r="S175" s="91">
        <v>0.59861111111111109</v>
      </c>
      <c r="T175" s="116"/>
      <c r="U175" s="116"/>
      <c r="V175" s="91">
        <v>0.68888888888888888</v>
      </c>
      <c r="W175" s="88">
        <f>IF(Table1[[#This Row],[Acknowledgemnet Time ]]="NA","",(Table1[[#This Row],[Acknowledgemnet Time ]]-Table1[[#This Row],[Fault Time]])*24)</f>
        <v>-14.366666666666667</v>
      </c>
      <c r="X175" s="88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89">
        <f>IFERROR(Table1[[#This Row],[Breakdown Time]]*Table1[[#This Row],[Plant Equivalent Weightage]],"")</f>
        <v>0.18087745764191054</v>
      </c>
      <c r="AD175" s="2">
        <v>1.48</v>
      </c>
      <c r="AE175" s="88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4">
        <f>YEAR(Table1[[#This Row],[Date]])+IF(MONTH(Table1[[#This Row],[Date]])&gt;=4,1,0)</f>
        <v>2026</v>
      </c>
      <c r="C176" s="73">
        <f>YEAR(Table1[[#This Row],[Date]])</f>
        <v>2025</v>
      </c>
      <c r="D176" s="73" t="s">
        <v>1082</v>
      </c>
      <c r="E176" s="73" t="s">
        <v>1082</v>
      </c>
      <c r="F176" s="170">
        <f>Table1[[#This Row],[Date]]-DAY(Table1[[#This Row],[Date]])+1</f>
        <v>45748</v>
      </c>
      <c r="G176">
        <f>DAY(EOMONTH(Table1[[#This Row],[Month Year]],0))</f>
        <v>30</v>
      </c>
      <c r="H176" s="103">
        <v>45753</v>
      </c>
      <c r="I176" s="75">
        <f>IFERROR(VLOOKUP(Table1[[#This Row],[Date]],Table3[[Date]:[Sunset Time (POA&lt;20 W/m2)]],3,0),"")</f>
        <v>0.26111111111111113</v>
      </c>
      <c r="J176" s="75">
        <f>IFERROR(VLOOKUP(Table1[[#This Row],[Date]],Table3[[Date]:[Sunset Time (POA&lt;20 W/m2)]],4,0),"")</f>
        <v>0.76944444444444449</v>
      </c>
      <c r="K176" s="76">
        <f>IFERROR((Table1[[#This Row],[Sunset Time (POA&lt;20 W/m2)]]-Table1[[#This Row],[Sunrise Time (POA&gt;20 W/m2)]])*24,"")</f>
        <v>12.2</v>
      </c>
      <c r="L176" s="107" t="s">
        <v>180</v>
      </c>
      <c r="M176" s="61">
        <f>VLOOKUP(Table1[[#This Row],[Affceted Equipment]],'Basic Data'!$A$2:$C$818,2,0)</f>
        <v>2694.6</v>
      </c>
      <c r="N176" s="92">
        <f>IFERROR(VLOOKUP(Table1[[#This Row],[Affceted Equipment]],'Basic Data'!$A$2:$C$818,3,0),"")</f>
        <v>0.33594733758057077</v>
      </c>
      <c r="O176" s="115" t="s">
        <v>323</v>
      </c>
      <c r="P176" s="93" t="s">
        <v>1091</v>
      </c>
      <c r="Q176" s="93"/>
      <c r="R176" s="93" t="s">
        <v>1091</v>
      </c>
      <c r="S176" s="91">
        <v>0.68888888888888888</v>
      </c>
      <c r="T176" s="116"/>
      <c r="U176" s="116"/>
      <c r="V176" s="91">
        <v>0.69027777777777777</v>
      </c>
      <c r="W176" s="88">
        <f>IF(Table1[[#This Row],[Acknowledgemnet Time ]]="NA","",(Table1[[#This Row],[Acknowledgemnet Time ]]-Table1[[#This Row],[Fault Time]])*24)</f>
        <v>-16.533333333333331</v>
      </c>
      <c r="X176" s="88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89">
        <f>IFERROR(Table1[[#This Row],[Breakdown Time]]*Table1[[#This Row],[Plant Equivalent Weightage]],"")</f>
        <v>1.1198244586018986E-2</v>
      </c>
      <c r="AD176" s="2">
        <v>0.02</v>
      </c>
      <c r="AE176" s="88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4">
        <f>YEAR(Table1[[#This Row],[Date]])+IF(MONTH(Table1[[#This Row],[Date]])&gt;=4,1,0)</f>
        <v>2026</v>
      </c>
      <c r="C177" s="73">
        <f>YEAR(Table1[[#This Row],[Date]])</f>
        <v>2025</v>
      </c>
      <c r="D177" s="73" t="s">
        <v>1082</v>
      </c>
      <c r="E177" s="73" t="s">
        <v>1082</v>
      </c>
      <c r="F177" s="170">
        <f>Table1[[#This Row],[Date]]-DAY(Table1[[#This Row],[Date]])+1</f>
        <v>45748</v>
      </c>
      <c r="G177">
        <f>DAY(EOMONTH(Table1[[#This Row],[Month Year]],0))</f>
        <v>30</v>
      </c>
      <c r="H177" s="103">
        <v>45753</v>
      </c>
      <c r="I177" s="75">
        <f>IFERROR(VLOOKUP(Table1[[#This Row],[Date]],Table3[[Date]:[Sunset Time (POA&lt;20 W/m2)]],3,0),"")</f>
        <v>0.26111111111111113</v>
      </c>
      <c r="J177" s="75">
        <f>IFERROR(VLOOKUP(Table1[[#This Row],[Date]],Table3[[Date]:[Sunset Time (POA&lt;20 W/m2)]],4,0),"")</f>
        <v>0.76944444444444449</v>
      </c>
      <c r="K177" s="76">
        <f>IFERROR((Table1[[#This Row],[Sunset Time (POA&lt;20 W/m2)]]-Table1[[#This Row],[Sunrise Time (POA&gt;20 W/m2)]])*24,"")</f>
        <v>12.2</v>
      </c>
      <c r="L177" s="107" t="s">
        <v>231</v>
      </c>
      <c r="M177" s="61">
        <f>VLOOKUP(Table1[[#This Row],[Affceted Equipment]],'Basic Data'!$A$2:$C$818,2,0)</f>
        <v>669.6</v>
      </c>
      <c r="N177" s="92">
        <f>IFERROR(VLOOKUP(Table1[[#This Row],[Affceted Equipment]],'Basic Data'!$A$2:$C$818,3,0),"")</f>
        <v>8.348190352703562E-2</v>
      </c>
      <c r="O177" s="115" t="s">
        <v>323</v>
      </c>
      <c r="P177" s="93" t="s">
        <v>1088</v>
      </c>
      <c r="Q177" s="93"/>
      <c r="R177" s="93" t="s">
        <v>1088</v>
      </c>
      <c r="S177" s="91">
        <v>0.69027777777777777</v>
      </c>
      <c r="T177" s="116"/>
      <c r="U177" s="116"/>
      <c r="V177" s="91">
        <v>0.76944444444444449</v>
      </c>
      <c r="W177" s="88">
        <f>IF(Table1[[#This Row],[Acknowledgemnet Time ]]="NA","",(Table1[[#This Row],[Acknowledgemnet Time ]]-Table1[[#This Row],[Fault Time]])*24)</f>
        <v>-16.566666666666666</v>
      </c>
      <c r="X177" s="88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89">
        <f>IFERROR(Table1[[#This Row],[Breakdown Time]]*Table1[[#This Row],[Plant Equivalent Weightage]],"")</f>
        <v>0.15861561670136778</v>
      </c>
      <c r="AD177" s="2">
        <v>0.35</v>
      </c>
      <c r="AE177" s="88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4">
        <f>YEAR(Table1[[#This Row],[Date]])+IF(MONTH(Table1[[#This Row],[Date]])&gt;=4,1,0)</f>
        <v>2026</v>
      </c>
      <c r="C178" s="73">
        <f>YEAR(Table1[[#This Row],[Date]])</f>
        <v>2025</v>
      </c>
      <c r="D178" s="73" t="s">
        <v>1082</v>
      </c>
      <c r="E178" s="73" t="s">
        <v>1082</v>
      </c>
      <c r="F178" s="170">
        <f>Table1[[#This Row],[Date]]-DAY(Table1[[#This Row],[Date]])+1</f>
        <v>45748</v>
      </c>
      <c r="G178">
        <f>DAY(EOMONTH(Table1[[#This Row],[Month Year]],0))</f>
        <v>30</v>
      </c>
      <c r="H178" s="103">
        <v>45754</v>
      </c>
      <c r="I178" s="75">
        <f>IFERROR(VLOOKUP(Table1[[#This Row],[Date]],Table3[[Date]:[Sunset Time (POA&lt;20 W/m2)]],3,0),"")</f>
        <v>0.25833333333333336</v>
      </c>
      <c r="J178" s="75">
        <f>IFERROR(VLOOKUP(Table1[[#This Row],[Date]],Table3[[Date]:[Sunset Time (POA&lt;20 W/m2)]],4,0),"")</f>
        <v>0.76875000000000004</v>
      </c>
      <c r="K178" s="76">
        <f>IFERROR((Table1[[#This Row],[Sunset Time (POA&lt;20 W/m2)]]-Table1[[#This Row],[Sunrise Time (POA&gt;20 W/m2)]])*24,"")</f>
        <v>12.250000000000002</v>
      </c>
      <c r="L178" s="107" t="s">
        <v>238</v>
      </c>
      <c r="M178" s="61">
        <f>VLOOKUP(Table1[[#This Row],[Affceted Equipment]],'Basic Data'!$A$2:$C$818,2,0)</f>
        <v>658.8</v>
      </c>
      <c r="N178" s="92">
        <f>IFERROR(VLOOKUP(Table1[[#This Row],[Affceted Equipment]],'Basic Data'!$A$2:$C$818,3,0),"")</f>
        <v>8.2135421212083434E-2</v>
      </c>
      <c r="O178" s="115" t="s">
        <v>303</v>
      </c>
      <c r="P178" s="93" t="s">
        <v>1087</v>
      </c>
      <c r="Q178" s="93"/>
      <c r="R178" s="93" t="s">
        <v>1087</v>
      </c>
      <c r="S178" s="91">
        <v>0.25833333333333336</v>
      </c>
      <c r="T178" s="116"/>
      <c r="U178" s="116"/>
      <c r="V178" s="91">
        <v>0.52500000000000002</v>
      </c>
      <c r="W178" s="88">
        <f>IF(Table1[[#This Row],[Acknowledgemnet Time ]]="NA","",(Table1[[#This Row],[Acknowledgemnet Time ]]-Table1[[#This Row],[Fault Time]])*24)</f>
        <v>-6.2000000000000011</v>
      </c>
      <c r="X178" s="88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89">
        <f>IFERROR(Table1[[#This Row],[Breakdown Time]]*Table1[[#This Row],[Plant Equivalent Weightage]],"")</f>
        <v>0.52566669575733405</v>
      </c>
      <c r="AD178" s="2">
        <v>2.93</v>
      </c>
      <c r="AE178" s="88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4">
        <f>YEAR(Table1[[#This Row],[Date]])+IF(MONTH(Table1[[#This Row],[Date]])&gt;=4,1,0)</f>
        <v>2026</v>
      </c>
      <c r="C179" s="73">
        <f>YEAR(Table1[[#This Row],[Date]])</f>
        <v>2025</v>
      </c>
      <c r="D179" s="73" t="s">
        <v>1082</v>
      </c>
      <c r="E179" s="73" t="s">
        <v>1082</v>
      </c>
      <c r="F179" s="170">
        <f>Table1[[#This Row],[Date]]-DAY(Table1[[#This Row],[Date]])+1</f>
        <v>45748</v>
      </c>
      <c r="G179">
        <f>DAY(EOMONTH(Table1[[#This Row],[Month Year]],0))</f>
        <v>30</v>
      </c>
      <c r="H179" s="103">
        <v>45754</v>
      </c>
      <c r="I179" s="75">
        <f>IFERROR(VLOOKUP(Table1[[#This Row],[Date]],Table3[[Date]:[Sunset Time (POA&lt;20 W/m2)]],3,0),"")</f>
        <v>0.25833333333333336</v>
      </c>
      <c r="J179" s="75">
        <f>IFERROR(VLOOKUP(Table1[[#This Row],[Date]],Table3[[Date]:[Sunset Time (POA&lt;20 W/m2)]],4,0),"")</f>
        <v>0.76875000000000004</v>
      </c>
      <c r="K179" s="76">
        <f>IFERROR((Table1[[#This Row],[Sunset Time (POA&lt;20 W/m2)]]-Table1[[#This Row],[Sunrise Time (POA&gt;20 W/m2)]])*24,"")</f>
        <v>12.250000000000002</v>
      </c>
      <c r="L179" s="107" t="s">
        <v>181</v>
      </c>
      <c r="M179" s="90">
        <f>VLOOKUP(Table1[[#This Row],[Affceted Equipment]],'Basic Data'!$A$2:$C$818,2,0)</f>
        <v>2630.8</v>
      </c>
      <c r="N179" s="92">
        <f>IFERROR(VLOOKUP(Table1[[#This Row],[Affceted Equipment]],'Basic Data'!$A$2:$C$818,3,0),"")</f>
        <v>0.32799311797927916</v>
      </c>
      <c r="O179" s="115" t="s">
        <v>303</v>
      </c>
      <c r="P179" s="93" t="s">
        <v>1185</v>
      </c>
      <c r="Q179" s="93"/>
      <c r="R179" s="93" t="s">
        <v>1185</v>
      </c>
      <c r="S179" s="91">
        <v>0.52500000000000002</v>
      </c>
      <c r="T179" s="116"/>
      <c r="U179" s="116"/>
      <c r="V179" s="91">
        <v>0.54861111111111116</v>
      </c>
      <c r="W179" s="88">
        <f>IF(Table1[[#This Row],[Acknowledgemnet Time ]]="NA","",(Table1[[#This Row],[Acknowledgemnet Time ]]-Table1[[#This Row],[Fault Time]])*24)</f>
        <v>-12.600000000000001</v>
      </c>
      <c r="X179" s="88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89">
        <f>IFERROR(Table1[[#This Row],[Breakdown Time]]*Table1[[#This Row],[Plant Equivalent Weightage]],"")</f>
        <v>0.18586276685492506</v>
      </c>
      <c r="AD179" s="2">
        <v>0.45</v>
      </c>
      <c r="AE179" s="88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4">
        <f>YEAR(Table1[[#This Row],[Date]])+IF(MONTH(Table1[[#This Row],[Date]])&gt;=4,1,0)</f>
        <v>2026</v>
      </c>
      <c r="C180" s="73">
        <f>YEAR(Table1[[#This Row],[Date]])</f>
        <v>2025</v>
      </c>
      <c r="D180" s="73" t="s">
        <v>1082</v>
      </c>
      <c r="E180" s="73" t="s">
        <v>1082</v>
      </c>
      <c r="F180" s="170">
        <f>Table1[[#This Row],[Date]]-DAY(Table1[[#This Row],[Date]])+1</f>
        <v>45748</v>
      </c>
      <c r="G180">
        <f>DAY(EOMONTH(Table1[[#This Row],[Month Year]],0))</f>
        <v>30</v>
      </c>
      <c r="H180" s="103">
        <v>45754</v>
      </c>
      <c r="I180" s="75">
        <f>IFERROR(VLOOKUP(Table1[[#This Row],[Date]],Table3[[Date]:[Sunset Time (POA&lt;20 W/m2)]],3,0),"")</f>
        <v>0.25833333333333336</v>
      </c>
      <c r="J180" s="75">
        <f>IFERROR(VLOOKUP(Table1[[#This Row],[Date]],Table3[[Date]:[Sunset Time (POA&lt;20 W/m2)]],4,0),"")</f>
        <v>0.76875000000000004</v>
      </c>
      <c r="K180" s="76">
        <f>IFERROR((Table1[[#This Row],[Sunset Time (POA&lt;20 W/m2)]]-Table1[[#This Row],[Sunrise Time (POA&gt;20 W/m2)]])*24,"")</f>
        <v>12.250000000000002</v>
      </c>
      <c r="L180" s="107" t="s">
        <v>231</v>
      </c>
      <c r="M180" s="90">
        <f>VLOOKUP(Table1[[#This Row],[Affceted Equipment]],'Basic Data'!$A$2:$C$818,2,0)</f>
        <v>669.6</v>
      </c>
      <c r="N180" s="92">
        <f>IFERROR(VLOOKUP(Table1[[#This Row],[Affceted Equipment]],'Basic Data'!$A$2:$C$818,3,0),"")</f>
        <v>8.348190352703562E-2</v>
      </c>
      <c r="O180" s="115" t="s">
        <v>323</v>
      </c>
      <c r="P180" s="93" t="s">
        <v>1088</v>
      </c>
      <c r="Q180" s="93"/>
      <c r="R180" s="93" t="s">
        <v>1088</v>
      </c>
      <c r="S180" s="91">
        <v>0.25833333333333336</v>
      </c>
      <c r="T180" s="116"/>
      <c r="U180" s="116"/>
      <c r="V180" s="91">
        <v>0.41944444444444445</v>
      </c>
      <c r="W180" s="88">
        <f>IF(Table1[[#This Row],[Acknowledgemnet Time ]]="NA","",(Table1[[#This Row],[Acknowledgemnet Time ]]-Table1[[#This Row],[Fault Time]])*24)</f>
        <v>-6.2000000000000011</v>
      </c>
      <c r="X180" s="88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89">
        <f>IFERROR(Table1[[#This Row],[Breakdown Time]]*Table1[[#This Row],[Plant Equivalent Weightage]],"")</f>
        <v>0.322796693637871</v>
      </c>
      <c r="AD180" s="2">
        <v>0.67</v>
      </c>
      <c r="AE180" s="88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4">
        <f>YEAR(Table1[[#This Row],[Date]])+IF(MONTH(Table1[[#This Row],[Date]])&gt;=4,1,0)</f>
        <v>2026</v>
      </c>
      <c r="C181" s="73">
        <f>YEAR(Table1[[#This Row],[Date]])</f>
        <v>2025</v>
      </c>
      <c r="D181" s="73" t="s">
        <v>1082</v>
      </c>
      <c r="E181" s="73" t="s">
        <v>1082</v>
      </c>
      <c r="F181" s="170">
        <f>Table1[[#This Row],[Date]]-DAY(Table1[[#This Row],[Date]])+1</f>
        <v>45748</v>
      </c>
      <c r="G181">
        <f>DAY(EOMONTH(Table1[[#This Row],[Month Year]],0))</f>
        <v>30</v>
      </c>
      <c r="H181" s="103">
        <v>45754</v>
      </c>
      <c r="I181" s="75">
        <f>IFERROR(VLOOKUP(Table1[[#This Row],[Date]],Table3[[Date]:[Sunset Time (POA&lt;20 W/m2)]],3,0),"")</f>
        <v>0.25833333333333336</v>
      </c>
      <c r="J181" s="75">
        <f>IFERROR(VLOOKUP(Table1[[#This Row],[Date]],Table3[[Date]:[Sunset Time (POA&lt;20 W/m2)]],4,0),"")</f>
        <v>0.76875000000000004</v>
      </c>
      <c r="K181" s="76">
        <f>IFERROR((Table1[[#This Row],[Sunset Time (POA&lt;20 W/m2)]]-Table1[[#This Row],[Sunrise Time (POA&gt;20 W/m2)]])*24,"")</f>
        <v>12.250000000000002</v>
      </c>
      <c r="L181" s="107" t="s">
        <v>180</v>
      </c>
      <c r="M181" s="90">
        <f>VLOOKUP(Table1[[#This Row],[Affceted Equipment]],'Basic Data'!$A$2:$C$818,2,0)</f>
        <v>2694.6</v>
      </c>
      <c r="N181" s="92">
        <f>IFERROR(VLOOKUP(Table1[[#This Row],[Affceted Equipment]],'Basic Data'!$A$2:$C$818,3,0),"")</f>
        <v>0.33594733758057077</v>
      </c>
      <c r="O181" s="115" t="s">
        <v>323</v>
      </c>
      <c r="P181" s="93" t="s">
        <v>1089</v>
      </c>
      <c r="Q181" s="93"/>
      <c r="R181" s="93" t="s">
        <v>1089</v>
      </c>
      <c r="S181" s="91">
        <v>0.41944444444444445</v>
      </c>
      <c r="T181" s="116"/>
      <c r="U181" s="116"/>
      <c r="V181" s="91">
        <v>0.42569444444444443</v>
      </c>
      <c r="W181" s="88">
        <f>IF(Table1[[#This Row],[Acknowledgemnet Time ]]="NA","",(Table1[[#This Row],[Acknowledgemnet Time ]]-Table1[[#This Row],[Fault Time]])*24)</f>
        <v>-10.066666666666666</v>
      </c>
      <c r="X181" s="88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89">
        <f>IFERROR(Table1[[#This Row],[Breakdown Time]]*Table1[[#This Row],[Plant Equivalent Weightage]],"")</f>
        <v>5.0392100637085435E-2</v>
      </c>
      <c r="AD181" s="2">
        <v>0.12</v>
      </c>
      <c r="AE181" s="88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4">
        <f>YEAR(Table1[[#This Row],[Date]])+IF(MONTH(Table1[[#This Row],[Date]])&gt;=4,1,0)</f>
        <v>2026</v>
      </c>
      <c r="C182" s="73">
        <f>YEAR(Table1[[#This Row],[Date]])</f>
        <v>2025</v>
      </c>
      <c r="D182" s="73" t="s">
        <v>1082</v>
      </c>
      <c r="E182" s="73" t="s">
        <v>1082</v>
      </c>
      <c r="F182" s="170">
        <f>Table1[[#This Row],[Date]]-DAY(Table1[[#This Row],[Date]])+1</f>
        <v>45748</v>
      </c>
      <c r="G182">
        <f>DAY(EOMONTH(Table1[[#This Row],[Month Year]],0))</f>
        <v>30</v>
      </c>
      <c r="H182" s="103">
        <v>45754</v>
      </c>
      <c r="I182" s="75">
        <f>IFERROR(VLOOKUP(Table1[[#This Row],[Date]],Table3[[Date]:[Sunset Time (POA&lt;20 W/m2)]],3,0),"")</f>
        <v>0.25833333333333336</v>
      </c>
      <c r="J182" s="75">
        <f>IFERROR(VLOOKUP(Table1[[#This Row],[Date]],Table3[[Date]:[Sunset Time (POA&lt;20 W/m2)]],4,0),"")</f>
        <v>0.76875000000000004</v>
      </c>
      <c r="K182" s="76">
        <f>IFERROR((Table1[[#This Row],[Sunset Time (POA&lt;20 W/m2)]]-Table1[[#This Row],[Sunrise Time (POA&gt;20 W/m2)]])*24,"")</f>
        <v>12.250000000000002</v>
      </c>
      <c r="L182" s="107" t="s">
        <v>231</v>
      </c>
      <c r="M182" s="90">
        <f>VLOOKUP(Table1[[#This Row],[Affceted Equipment]],'Basic Data'!$A$2:$C$818,2,0)</f>
        <v>669.6</v>
      </c>
      <c r="N182" s="92">
        <f>IFERROR(VLOOKUP(Table1[[#This Row],[Affceted Equipment]],'Basic Data'!$A$2:$C$818,3,0),"")</f>
        <v>8.348190352703562E-2</v>
      </c>
      <c r="O182" s="115" t="s">
        <v>323</v>
      </c>
      <c r="P182" s="93" t="s">
        <v>1088</v>
      </c>
      <c r="Q182" s="93"/>
      <c r="R182" s="93" t="s">
        <v>1088</v>
      </c>
      <c r="S182" s="91">
        <v>0.42569444444444443</v>
      </c>
      <c r="T182" s="116"/>
      <c r="U182" s="116"/>
      <c r="V182" s="91">
        <v>0.44513888888888886</v>
      </c>
      <c r="W182" s="88">
        <f>IF(Table1[[#This Row],[Acknowledgemnet Time ]]="NA","",(Table1[[#This Row],[Acknowledgemnet Time ]]-Table1[[#This Row],[Fault Time]])*24)</f>
        <v>-10.216666666666667</v>
      </c>
      <c r="X182" s="88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89">
        <f>IFERROR(Table1[[#This Row],[Breakdown Time]]*Table1[[#This Row],[Plant Equivalent Weightage]],"")</f>
        <v>3.8958221645949927E-2</v>
      </c>
      <c r="AD182" s="2">
        <v>0.37</v>
      </c>
      <c r="AE182" s="88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4">
        <f>YEAR(Table1[[#This Row],[Date]])+IF(MONTH(Table1[[#This Row],[Date]])&gt;=4,1,0)</f>
        <v>2026</v>
      </c>
      <c r="C183" s="73">
        <f>YEAR(Table1[[#This Row],[Date]])</f>
        <v>2025</v>
      </c>
      <c r="D183" s="73" t="s">
        <v>1082</v>
      </c>
      <c r="E183" s="73" t="s">
        <v>1082</v>
      </c>
      <c r="F183" s="170">
        <f>Table1[[#This Row],[Date]]-DAY(Table1[[#This Row],[Date]])+1</f>
        <v>45748</v>
      </c>
      <c r="G183">
        <f>DAY(EOMONTH(Table1[[#This Row],[Month Year]],0))</f>
        <v>30</v>
      </c>
      <c r="H183" s="103">
        <v>45754</v>
      </c>
      <c r="I183" s="75">
        <f>IFERROR(VLOOKUP(Table1[[#This Row],[Date]],Table3[[Date]:[Sunset Time (POA&lt;20 W/m2)]],3,0),"")</f>
        <v>0.25833333333333336</v>
      </c>
      <c r="J183" s="75">
        <f>IFERROR(VLOOKUP(Table1[[#This Row],[Date]],Table3[[Date]:[Sunset Time (POA&lt;20 W/m2)]],4,0),"")</f>
        <v>0.76875000000000004</v>
      </c>
      <c r="K183" s="76">
        <f>IFERROR((Table1[[#This Row],[Sunset Time (POA&lt;20 W/m2)]]-Table1[[#This Row],[Sunrise Time (POA&gt;20 W/m2)]])*24,"")</f>
        <v>12.250000000000002</v>
      </c>
      <c r="L183" s="107" t="s">
        <v>232</v>
      </c>
      <c r="M183" s="90">
        <f>VLOOKUP(Table1[[#This Row],[Affceted Equipment]],'Basic Data'!$A$2:$C$818,2,0)</f>
        <v>669.6</v>
      </c>
      <c r="N183" s="92">
        <f>IFERROR(VLOOKUP(Table1[[#This Row],[Affceted Equipment]],'Basic Data'!$A$2:$C$818,3,0),"")</f>
        <v>8.348190352703562E-2</v>
      </c>
      <c r="O183" s="115" t="s">
        <v>323</v>
      </c>
      <c r="P183" s="93" t="s">
        <v>1090</v>
      </c>
      <c r="Q183" s="93"/>
      <c r="R183" s="93" t="s">
        <v>1090</v>
      </c>
      <c r="S183" s="91">
        <v>0.42569444444444443</v>
      </c>
      <c r="T183" s="116"/>
      <c r="U183" s="116"/>
      <c r="V183" s="91">
        <v>0.44513888888888886</v>
      </c>
      <c r="W183" s="88">
        <f>IF(Table1[[#This Row],[Acknowledgemnet Time ]]="NA","",(Table1[[#This Row],[Acknowledgemnet Time ]]-Table1[[#This Row],[Fault Time]])*24)</f>
        <v>-10.216666666666667</v>
      </c>
      <c r="X183" s="88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89">
        <f>IFERROR(Table1[[#This Row],[Breakdown Time]]*Table1[[#This Row],[Plant Equivalent Weightage]],"")</f>
        <v>3.8958221645949927E-2</v>
      </c>
      <c r="AD183" s="2">
        <v>0.37</v>
      </c>
      <c r="AE183" s="88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4">
        <f>YEAR(Table1[[#This Row],[Date]])+IF(MONTH(Table1[[#This Row],[Date]])&gt;=4,1,0)</f>
        <v>2026</v>
      </c>
      <c r="C184" s="73">
        <f>YEAR(Table1[[#This Row],[Date]])</f>
        <v>2025</v>
      </c>
      <c r="D184" s="73" t="s">
        <v>1082</v>
      </c>
      <c r="E184" s="73" t="s">
        <v>1082</v>
      </c>
      <c r="F184" s="170">
        <f>Table1[[#This Row],[Date]]-DAY(Table1[[#This Row],[Date]])+1</f>
        <v>45748</v>
      </c>
      <c r="G184" s="14">
        <f>DAY(EOMONTH(Table1[[#This Row],[Month Year]],0))</f>
        <v>30</v>
      </c>
      <c r="H184" s="103">
        <v>45754</v>
      </c>
      <c r="I184" s="75">
        <f>IFERROR(VLOOKUP(Table1[[#This Row],[Date]],Table3[[Date]:[Sunset Time (POA&lt;20 W/m2)]],3,0),"")</f>
        <v>0.25833333333333336</v>
      </c>
      <c r="J184" s="75">
        <f>IFERROR(VLOOKUP(Table1[[#This Row],[Date]],Table3[[Date]:[Sunset Time (POA&lt;20 W/m2)]],4,0),"")</f>
        <v>0.76875000000000004</v>
      </c>
      <c r="K184" s="76">
        <f>IFERROR((Table1[[#This Row],[Sunset Time (POA&lt;20 W/m2)]]-Table1[[#This Row],[Sunrise Time (POA&gt;20 W/m2)]])*24,"")</f>
        <v>12.250000000000002</v>
      </c>
      <c r="L184" s="162" t="s">
        <v>180</v>
      </c>
      <c r="M184" s="163">
        <f>VLOOKUP(Table1[[#This Row],[Affceted Equipment]],'Basic Data'!$A$2:$C$818,2,0)</f>
        <v>2694.6</v>
      </c>
      <c r="N184" s="92">
        <f>IFERROR(VLOOKUP(Table1[[#This Row],[Affceted Equipment]],'Basic Data'!$A$2:$C$818,3,0),"")</f>
        <v>0.33594733758057077</v>
      </c>
      <c r="O184" s="164" t="s">
        <v>323</v>
      </c>
      <c r="P184" s="165" t="s">
        <v>1187</v>
      </c>
      <c r="Q184" s="166" t="s">
        <v>1188</v>
      </c>
      <c r="R184" s="166" t="s">
        <v>1188</v>
      </c>
      <c r="S184" s="167">
        <v>0.44513888888888886</v>
      </c>
      <c r="T184" s="168"/>
      <c r="U184" s="168"/>
      <c r="V184" s="167">
        <v>0.49791666666666667</v>
      </c>
      <c r="W184" s="88">
        <f>IF(Table1[[#This Row],[Acknowledgemnet Time ]]="NA","",(Table1[[#This Row],[Acknowledgemnet Time ]]-Table1[[#This Row],[Fault Time]])*24)</f>
        <v>-10.683333333333334</v>
      </c>
      <c r="X184" s="88">
        <f>IF(Table1[[#This Row],[Work Start time on Fault]]="NA","",(Table1[[#This Row],[Work Start time on Fault]]-Table1[[#This Row],[Fault Time]])*24)</f>
        <v>-10.683333333333334</v>
      </c>
      <c r="Y184" s="88">
        <f>(Table1[[#This Row],[Work Completiuon time on fualt]]-Table1[[#This Row],[Fault Time]])*24</f>
        <v>1.2666666666666675</v>
      </c>
      <c r="Z184" s="88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69">
        <f>IFERROR(Table1[[#This Row],[Breakdown Time]]*Table1[[#This Row],[Plant Equivalent Weightage]],"")</f>
        <v>0.42553329426872327</v>
      </c>
      <c r="AD184" s="7">
        <v>1.1399999999999999</v>
      </c>
      <c r="AE184" s="88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4">
        <f>YEAR(Table1[[#This Row],[Date]])+IF(MONTH(Table1[[#This Row],[Date]])&gt;=4,1,0)</f>
        <v>2026</v>
      </c>
      <c r="C185" s="73">
        <f>YEAR(Table1[[#This Row],[Date]])</f>
        <v>2025</v>
      </c>
      <c r="D185" s="73" t="s">
        <v>1082</v>
      </c>
      <c r="E185" s="73" t="s">
        <v>1082</v>
      </c>
      <c r="F185" s="170">
        <f>Table1[[#This Row],[Date]]-DAY(Table1[[#This Row],[Date]])+1</f>
        <v>45748</v>
      </c>
      <c r="G185">
        <f>DAY(EOMONTH(Table1[[#This Row],[Month Year]],0))</f>
        <v>30</v>
      </c>
      <c r="H185" s="103">
        <v>45754</v>
      </c>
      <c r="I185" s="75">
        <f>IFERROR(VLOOKUP(Table1[[#This Row],[Date]],Table3[[Date]:[Sunset Time (POA&lt;20 W/m2)]],3,0),"")</f>
        <v>0.25833333333333336</v>
      </c>
      <c r="J185" s="75">
        <f>IFERROR(VLOOKUP(Table1[[#This Row],[Date]],Table3[[Date]:[Sunset Time (POA&lt;20 W/m2)]],4,0),"")</f>
        <v>0.76875000000000004</v>
      </c>
      <c r="K185" s="76">
        <f>IFERROR((Table1[[#This Row],[Sunset Time (POA&lt;20 W/m2)]]-Table1[[#This Row],[Sunrise Time (POA&gt;20 W/m2)]])*24,"")</f>
        <v>12.250000000000002</v>
      </c>
      <c r="L185" s="107" t="s">
        <v>231</v>
      </c>
      <c r="M185" s="61">
        <f>VLOOKUP(Table1[[#This Row],[Affceted Equipment]],'Basic Data'!$A$2:$C$818,2,0)</f>
        <v>669.6</v>
      </c>
      <c r="N185" s="92">
        <f>IFERROR(VLOOKUP(Table1[[#This Row],[Affceted Equipment]],'Basic Data'!$A$2:$C$818,3,0),"")</f>
        <v>8.348190352703562E-2</v>
      </c>
      <c r="O185" s="115" t="s">
        <v>323</v>
      </c>
      <c r="P185" s="93" t="s">
        <v>1088</v>
      </c>
      <c r="Q185" s="93"/>
      <c r="R185" s="93" t="s">
        <v>1088</v>
      </c>
      <c r="S185" s="91">
        <v>0.49791666666666667</v>
      </c>
      <c r="T185" s="116"/>
      <c r="U185" s="116"/>
      <c r="V185" s="91">
        <v>0.76875000000000004</v>
      </c>
      <c r="W185" s="88">
        <f>IF(Table1[[#This Row],[Acknowledgemnet Time ]]="NA","",(Table1[[#This Row],[Acknowledgemnet Time ]]-Table1[[#This Row],[Fault Time]])*24)</f>
        <v>-11.95</v>
      </c>
      <c r="X185" s="88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89">
        <f>IFERROR(Table1[[#This Row],[Breakdown Time]]*Table1[[#This Row],[Plant Equivalent Weightage]],"")</f>
        <v>0.54263237292573163</v>
      </c>
      <c r="AD185" s="2">
        <v>3.7</v>
      </c>
      <c r="AE185" s="88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4">
        <f>YEAR(Table1[[#This Row],[Date]])+IF(MONTH(Table1[[#This Row],[Date]])&gt;=4,1,0)</f>
        <v>2026</v>
      </c>
      <c r="C186" s="73">
        <f>YEAR(Table1[[#This Row],[Date]])</f>
        <v>2025</v>
      </c>
      <c r="D186" s="73" t="s">
        <v>1082</v>
      </c>
      <c r="E186" s="73" t="s">
        <v>1082</v>
      </c>
      <c r="F186" s="170">
        <f>Table1[[#This Row],[Date]]-DAY(Table1[[#This Row],[Date]])+1</f>
        <v>45748</v>
      </c>
      <c r="G186">
        <f>DAY(EOMONTH(Table1[[#This Row],[Month Year]],0))</f>
        <v>30</v>
      </c>
      <c r="H186" s="103">
        <v>45754</v>
      </c>
      <c r="I186" s="75">
        <f>IFERROR(VLOOKUP(Table1[[#This Row],[Date]],Table3[[Date]:[Sunset Time (POA&lt;20 W/m2)]],3,0),"")</f>
        <v>0.25833333333333336</v>
      </c>
      <c r="J186" s="75">
        <f>IFERROR(VLOOKUP(Table1[[#This Row],[Date]],Table3[[Date]:[Sunset Time (POA&lt;20 W/m2)]],4,0),"")</f>
        <v>0.76875000000000004</v>
      </c>
      <c r="K186" s="76">
        <f>IFERROR((Table1[[#This Row],[Sunset Time (POA&lt;20 W/m2)]]-Table1[[#This Row],[Sunrise Time (POA&gt;20 W/m2)]])*24,"")</f>
        <v>12.250000000000002</v>
      </c>
      <c r="L186" s="107" t="s">
        <v>238</v>
      </c>
      <c r="M186" s="61">
        <f>VLOOKUP(Table1[[#This Row],[Affceted Equipment]],'Basic Data'!$A$2:$C$818,2,0)</f>
        <v>658.8</v>
      </c>
      <c r="N186" s="92">
        <f>IFERROR(VLOOKUP(Table1[[#This Row],[Affceted Equipment]],'Basic Data'!$A$2:$C$818,3,0),"")</f>
        <v>8.2135421212083434E-2</v>
      </c>
      <c r="O186" s="115" t="s">
        <v>303</v>
      </c>
      <c r="P186" s="93" t="s">
        <v>1087</v>
      </c>
      <c r="Q186" s="93"/>
      <c r="R186" s="93" t="s">
        <v>1087</v>
      </c>
      <c r="S186" s="91">
        <v>0.54861111111111116</v>
      </c>
      <c r="T186" s="116"/>
      <c r="U186" s="116"/>
      <c r="V186" s="91">
        <v>0.76875000000000004</v>
      </c>
      <c r="W186" s="88">
        <f>IF(Table1[[#This Row],[Acknowledgemnet Time ]]="NA","",(Table1[[#This Row],[Acknowledgemnet Time ]]-Table1[[#This Row],[Fault Time]])*24)</f>
        <v>-13.166666666666668</v>
      </c>
      <c r="X186" s="88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89">
        <f>IFERROR(Table1[[#This Row],[Breakdown Time]]*Table1[[#This Row],[Plant Equivalent Weightage]],"")</f>
        <v>0.43394880873717412</v>
      </c>
      <c r="AD186" s="2">
        <v>2.62</v>
      </c>
      <c r="AE186" s="88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4">
        <f>YEAR(Table1[[#This Row],[Date]])+IF(MONTH(Table1[[#This Row],[Date]])&gt;=4,1,0)</f>
        <v>2026</v>
      </c>
      <c r="C187" s="73">
        <f>YEAR(Table1[[#This Row],[Date]])</f>
        <v>2025</v>
      </c>
      <c r="D187" s="73" t="s">
        <v>1082</v>
      </c>
      <c r="E187" s="73" t="s">
        <v>1082</v>
      </c>
      <c r="F187" s="170">
        <f>Table1[[#This Row],[Date]]-DAY(Table1[[#This Row],[Date]])+1</f>
        <v>45748</v>
      </c>
      <c r="G187">
        <f>DAY(EOMONTH(Table1[[#This Row],[Month Year]],0))</f>
        <v>30</v>
      </c>
      <c r="H187" s="103">
        <v>45755</v>
      </c>
      <c r="I187" s="75">
        <f>IFERROR(VLOOKUP(Table1[[#This Row],[Date]],Table3[[Date]:[Sunset Time (POA&lt;20 W/m2)]],3,0),"")</f>
        <v>0.25763888888888886</v>
      </c>
      <c r="J187" s="75">
        <f>IFERROR(VLOOKUP(Table1[[#This Row],[Date]],Table3[[Date]:[Sunset Time (POA&lt;20 W/m2)]],4,0),"")</f>
        <v>0.76597222222222228</v>
      </c>
      <c r="K187" s="76">
        <f>IFERROR((Table1[[#This Row],[Sunset Time (POA&lt;20 W/m2)]]-Table1[[#This Row],[Sunrise Time (POA&gt;20 W/m2)]])*24,"")</f>
        <v>12.200000000000003</v>
      </c>
      <c r="L187" s="107" t="s">
        <v>231</v>
      </c>
      <c r="M187" s="61">
        <f>VLOOKUP(Table1[[#This Row],[Affceted Equipment]],'Basic Data'!$A$2:$C$818,2,0)</f>
        <v>669.6</v>
      </c>
      <c r="N187" s="92">
        <f>IFERROR(VLOOKUP(Table1[[#This Row],[Affceted Equipment]],'Basic Data'!$A$2:$C$818,3,0),"")</f>
        <v>8.348190352703562E-2</v>
      </c>
      <c r="O187" s="115" t="s">
        <v>323</v>
      </c>
      <c r="P187" s="93" t="s">
        <v>1088</v>
      </c>
      <c r="Q187" s="93"/>
      <c r="R187" s="93" t="s">
        <v>1088</v>
      </c>
      <c r="S187" s="91">
        <v>0.25763888888888886</v>
      </c>
      <c r="T187" s="116"/>
      <c r="U187" s="116"/>
      <c r="V187" s="91">
        <v>0.76597222222222228</v>
      </c>
      <c r="W187" s="88">
        <f>IF(Table1[[#This Row],[Acknowledgemnet Time ]]="NA","",(Table1[[#This Row],[Acknowledgemnet Time ]]-Table1[[#This Row],[Fault Time]])*24)</f>
        <v>-6.1833333333333327</v>
      </c>
      <c r="X187" s="88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89">
        <f>IFERROR(Table1[[#This Row],[Breakdown Time]]*Table1[[#This Row],[Plant Equivalent Weightage]],"")</f>
        <v>1.0184792230298347</v>
      </c>
      <c r="AD187" s="2">
        <v>5.83</v>
      </c>
      <c r="AE187" s="88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4">
        <f>YEAR(Table1[[#This Row],[Date]])+IF(MONTH(Table1[[#This Row],[Date]])&gt;=4,1,0)</f>
        <v>2026</v>
      </c>
      <c r="C188" s="73">
        <f>YEAR(Table1[[#This Row],[Date]])</f>
        <v>2025</v>
      </c>
      <c r="D188" s="73" t="s">
        <v>1082</v>
      </c>
      <c r="E188" s="73" t="s">
        <v>1082</v>
      </c>
      <c r="F188" s="170">
        <f>Table1[[#This Row],[Date]]-DAY(Table1[[#This Row],[Date]])+1</f>
        <v>45748</v>
      </c>
      <c r="G188">
        <f>DAY(EOMONTH(Table1[[#This Row],[Month Year]],0))</f>
        <v>30</v>
      </c>
      <c r="H188" s="103">
        <v>45755</v>
      </c>
      <c r="I188" s="75">
        <f>IFERROR(VLOOKUP(Table1[[#This Row],[Date]],Table3[[Date]:[Sunset Time (POA&lt;20 W/m2)]],3,0),"")</f>
        <v>0.25763888888888886</v>
      </c>
      <c r="J188" s="75">
        <f>IFERROR(VLOOKUP(Table1[[#This Row],[Date]],Table3[[Date]:[Sunset Time (POA&lt;20 W/m2)]],4,0),"")</f>
        <v>0.76597222222222228</v>
      </c>
      <c r="K188" s="76">
        <f>IFERROR((Table1[[#This Row],[Sunset Time (POA&lt;20 W/m2)]]-Table1[[#This Row],[Sunrise Time (POA&gt;20 W/m2)]])*24,"")</f>
        <v>12.200000000000003</v>
      </c>
      <c r="L188" s="107" t="s">
        <v>238</v>
      </c>
      <c r="M188" s="90">
        <f>VLOOKUP(Table1[[#This Row],[Affceted Equipment]],'Basic Data'!$A$2:$C$818,2,0)</f>
        <v>658.8</v>
      </c>
      <c r="N188" s="92">
        <f>IFERROR(VLOOKUP(Table1[[#This Row],[Affceted Equipment]],'Basic Data'!$A$2:$C$818,3,0),"")</f>
        <v>8.2135421212083434E-2</v>
      </c>
      <c r="O188" s="115" t="s">
        <v>303</v>
      </c>
      <c r="P188" s="93" t="s">
        <v>1087</v>
      </c>
      <c r="Q188" s="93"/>
      <c r="R188" s="93" t="s">
        <v>1087</v>
      </c>
      <c r="S188" s="91">
        <v>0.25763888888888886</v>
      </c>
      <c r="T188" s="116"/>
      <c r="U188" s="116"/>
      <c r="V188" s="91">
        <v>0.76597222222222228</v>
      </c>
      <c r="W188" s="88">
        <f>IF(Table1[[#This Row],[Acknowledgemnet Time ]]="NA","",(Table1[[#This Row],[Acknowledgemnet Time ]]-Table1[[#This Row],[Fault Time]])*24)</f>
        <v>-6.1833333333333327</v>
      </c>
      <c r="X188" s="88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89">
        <f>IFERROR(Table1[[#This Row],[Breakdown Time]]*Table1[[#This Row],[Plant Equivalent Weightage]],"")</f>
        <v>1.0020521387874182</v>
      </c>
      <c r="AD188" s="2">
        <v>5.83</v>
      </c>
      <c r="AE188" s="88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4">
        <f>YEAR(Table1[[#This Row],[Date]])+IF(MONTH(Table1[[#This Row],[Date]])&gt;=4,1,0)</f>
        <v>2026</v>
      </c>
      <c r="C189" s="73">
        <f>YEAR(Table1[[#This Row],[Date]])</f>
        <v>2025</v>
      </c>
      <c r="D189" s="73" t="s">
        <v>1082</v>
      </c>
      <c r="E189" s="73" t="s">
        <v>1082</v>
      </c>
      <c r="F189" s="170">
        <f>Table1[[#This Row],[Date]]-DAY(Table1[[#This Row],[Date]])+1</f>
        <v>45748</v>
      </c>
      <c r="G189">
        <f>DAY(EOMONTH(Table1[[#This Row],[Month Year]],0))</f>
        <v>30</v>
      </c>
      <c r="H189" s="103">
        <v>45756</v>
      </c>
      <c r="I189" s="75">
        <f>IFERROR(VLOOKUP(Table1[[#This Row],[Date]],Table3[[Date]:[Sunset Time (POA&lt;20 W/m2)]],3,0),"")</f>
        <v>0.25694444444444442</v>
      </c>
      <c r="J189" s="75">
        <f>IFERROR(VLOOKUP(Table1[[#This Row],[Date]],Table3[[Date]:[Sunset Time (POA&lt;20 W/m2)]],4,0),"")</f>
        <v>0.76666666666666672</v>
      </c>
      <c r="K189" s="76">
        <f>IFERROR((Table1[[#This Row],[Sunset Time (POA&lt;20 W/m2)]]-Table1[[#This Row],[Sunrise Time (POA&gt;20 W/m2)]])*24,"")</f>
        <v>12.233333333333334</v>
      </c>
      <c r="L189" s="107" t="s">
        <v>231</v>
      </c>
      <c r="M189" s="61">
        <f>VLOOKUP(Table1[[#This Row],[Affceted Equipment]],'Basic Data'!$A$2:$C$818,2,0)</f>
        <v>669.6</v>
      </c>
      <c r="N189" s="92">
        <f>IFERROR(VLOOKUP(Table1[[#This Row],[Affceted Equipment]],'Basic Data'!$A$2:$C$818,3,0),"")</f>
        <v>8.348190352703562E-2</v>
      </c>
      <c r="O189" s="115" t="s">
        <v>323</v>
      </c>
      <c r="P189" s="93" t="s">
        <v>1088</v>
      </c>
      <c r="Q189" s="93"/>
      <c r="R189" s="93" t="s">
        <v>1088</v>
      </c>
      <c r="S189" s="91">
        <v>0.25694444444444442</v>
      </c>
      <c r="T189" s="116"/>
      <c r="U189" s="116"/>
      <c r="V189" s="91">
        <v>0.57847222222222228</v>
      </c>
      <c r="W189" s="88">
        <f>IF(Table1[[#This Row],[Acknowledgemnet Time ]]="NA","",(Table1[[#This Row],[Acknowledgemnet Time ]]-Table1[[#This Row],[Fault Time]])*24)</f>
        <v>-6.1666666666666661</v>
      </c>
      <c r="X189" s="88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89">
        <f>IFERROR(Table1[[#This Row],[Breakdown Time]]*Table1[[#This Row],[Plant Equivalent Weightage]],"")</f>
        <v>0.64420202221695833</v>
      </c>
      <c r="AD189" s="2">
        <v>4.6399999999999997</v>
      </c>
      <c r="AE189" s="88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4">
        <f>YEAR(Table1[[#This Row],[Date]])+IF(MONTH(Table1[[#This Row],[Date]])&gt;=4,1,0)</f>
        <v>2026</v>
      </c>
      <c r="C190" s="73">
        <f>YEAR(Table1[[#This Row],[Date]])</f>
        <v>2025</v>
      </c>
      <c r="D190" s="73" t="s">
        <v>1082</v>
      </c>
      <c r="E190" s="73" t="s">
        <v>1082</v>
      </c>
      <c r="F190" s="170">
        <f>Table1[[#This Row],[Date]]-DAY(Table1[[#This Row],[Date]])+1</f>
        <v>45748</v>
      </c>
      <c r="G190">
        <f>DAY(EOMONTH(Table1[[#This Row],[Month Year]],0))</f>
        <v>30</v>
      </c>
      <c r="H190" s="103">
        <v>45756</v>
      </c>
      <c r="I190" s="75">
        <f>IFERROR(VLOOKUP(Table1[[#This Row],[Date]],Table3[[Date]:[Sunset Time (POA&lt;20 W/m2)]],3,0),"")</f>
        <v>0.25694444444444442</v>
      </c>
      <c r="J190" s="75">
        <f>IFERROR(VLOOKUP(Table1[[#This Row],[Date]],Table3[[Date]:[Sunset Time (POA&lt;20 W/m2)]],4,0),"")</f>
        <v>0.76666666666666672</v>
      </c>
      <c r="K190" s="76">
        <f>IFERROR((Table1[[#This Row],[Sunset Time (POA&lt;20 W/m2)]]-Table1[[#This Row],[Sunrise Time (POA&gt;20 W/m2)]])*24,"")</f>
        <v>12.233333333333334</v>
      </c>
      <c r="L190" s="107" t="s">
        <v>238</v>
      </c>
      <c r="M190" s="61">
        <f>VLOOKUP(Table1[[#This Row],[Affceted Equipment]],'Basic Data'!$A$2:$C$818,2,0)</f>
        <v>658.8</v>
      </c>
      <c r="N190" s="92">
        <f>IFERROR(VLOOKUP(Table1[[#This Row],[Affceted Equipment]],'Basic Data'!$A$2:$C$818,3,0),"")</f>
        <v>8.2135421212083434E-2</v>
      </c>
      <c r="O190" s="115" t="s">
        <v>303</v>
      </c>
      <c r="P190" s="93" t="s">
        <v>1087</v>
      </c>
      <c r="Q190" s="93"/>
      <c r="R190" s="93" t="s">
        <v>1087</v>
      </c>
      <c r="S190" s="91">
        <v>0.25694444444444442</v>
      </c>
      <c r="T190" s="116"/>
      <c r="U190" s="116"/>
      <c r="V190" s="91">
        <v>0.55694444444444446</v>
      </c>
      <c r="W190" s="88">
        <f>IF(Table1[[#This Row],[Acknowledgemnet Time ]]="NA","",(Table1[[#This Row],[Acknowledgemnet Time ]]-Table1[[#This Row],[Fault Time]])*24)</f>
        <v>-6.1666666666666661</v>
      </c>
      <c r="X190" s="88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89">
        <f>IFERROR(Table1[[#This Row],[Breakdown Time]]*Table1[[#This Row],[Plant Equivalent Weightage]],"")</f>
        <v>0.59137503272700076</v>
      </c>
      <c r="AD190" s="2">
        <v>4.1500000000000004</v>
      </c>
      <c r="AE190" s="88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4">
        <f>YEAR(Table1[[#This Row],[Date]])+IF(MONTH(Table1[[#This Row],[Date]])&gt;=4,1,0)</f>
        <v>2026</v>
      </c>
      <c r="C191" s="73">
        <f>YEAR(Table1[[#This Row],[Date]])</f>
        <v>2025</v>
      </c>
      <c r="D191" s="73" t="s">
        <v>1082</v>
      </c>
      <c r="E191" s="73" t="s">
        <v>1082</v>
      </c>
      <c r="F191" s="170">
        <f>Table1[[#This Row],[Date]]-DAY(Table1[[#This Row],[Date]])+1</f>
        <v>45748</v>
      </c>
      <c r="G191">
        <f>DAY(EOMONTH(Table1[[#This Row],[Month Year]],0))</f>
        <v>30</v>
      </c>
      <c r="H191" s="103">
        <v>45756</v>
      </c>
      <c r="I191" s="75">
        <f>IFERROR(VLOOKUP(Table1[[#This Row],[Date]],Table3[[Date]:[Sunset Time (POA&lt;20 W/m2)]],3,0),"")</f>
        <v>0.25694444444444442</v>
      </c>
      <c r="J191" s="75">
        <f>IFERROR(VLOOKUP(Table1[[#This Row],[Date]],Table3[[Date]:[Sunset Time (POA&lt;20 W/m2)]],4,0),"")</f>
        <v>0.76666666666666672</v>
      </c>
      <c r="K191" s="76">
        <f>IFERROR((Table1[[#This Row],[Sunset Time (POA&lt;20 W/m2)]]-Table1[[#This Row],[Sunrise Time (POA&gt;20 W/m2)]])*24,"")</f>
        <v>12.233333333333334</v>
      </c>
      <c r="L191" s="162" t="s">
        <v>180</v>
      </c>
      <c r="M191" s="61">
        <f>VLOOKUP(Table1[[#This Row],[Affceted Equipment]],'Basic Data'!$A$2:$C$818,2,0)</f>
        <v>2694.6</v>
      </c>
      <c r="N191" s="92">
        <f>IFERROR(VLOOKUP(Table1[[#This Row],[Affceted Equipment]],'Basic Data'!$A$2:$C$818,3,0),"")</f>
        <v>0.33594733758057077</v>
      </c>
      <c r="O191" s="115" t="s">
        <v>323</v>
      </c>
      <c r="P191" s="93" t="s">
        <v>1185</v>
      </c>
      <c r="Q191" s="93"/>
      <c r="R191" s="93" t="s">
        <v>1185</v>
      </c>
      <c r="S191" s="91">
        <v>0.57847222222222228</v>
      </c>
      <c r="T191" s="116"/>
      <c r="U191" s="116"/>
      <c r="V191" s="91">
        <v>0.59444444444444444</v>
      </c>
      <c r="W191" s="88">
        <f>IF(Table1[[#This Row],[Acknowledgemnet Time ]]="NA","",(Table1[[#This Row],[Acknowledgemnet Time ]]-Table1[[#This Row],[Fault Time]])*24)</f>
        <v>-13.883333333333335</v>
      </c>
      <c r="X191" s="88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89">
        <f>IFERROR(Table1[[#This Row],[Breakdown Time]]*Table1[[#This Row],[Plant Equivalent Weightage]],"")</f>
        <v>0.12877981273921835</v>
      </c>
      <c r="AD191" s="2">
        <v>0.36</v>
      </c>
      <c r="AE191" s="88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4">
        <f>YEAR(Table1[[#This Row],[Date]])+IF(MONTH(Table1[[#This Row],[Date]])&gt;=4,1,0)</f>
        <v>2026</v>
      </c>
      <c r="C192" s="73">
        <f>YEAR(Table1[[#This Row],[Date]])</f>
        <v>2025</v>
      </c>
      <c r="D192" s="73" t="s">
        <v>1082</v>
      </c>
      <c r="E192" s="73" t="s">
        <v>1082</v>
      </c>
      <c r="F192" s="170">
        <f>Table1[[#This Row],[Date]]-DAY(Table1[[#This Row],[Date]])+1</f>
        <v>45748</v>
      </c>
      <c r="G192">
        <f>DAY(EOMONTH(Table1[[#This Row],[Month Year]],0))</f>
        <v>30</v>
      </c>
      <c r="H192" s="103">
        <v>45756</v>
      </c>
      <c r="I192" s="75">
        <f>IFERROR(VLOOKUP(Table1[[#This Row],[Date]],Table3[[Date]:[Sunset Time (POA&lt;20 W/m2)]],3,0),"")</f>
        <v>0.25694444444444442</v>
      </c>
      <c r="J192" s="75">
        <f>IFERROR(VLOOKUP(Table1[[#This Row],[Date]],Table3[[Date]:[Sunset Time (POA&lt;20 W/m2)]],4,0),"")</f>
        <v>0.76666666666666672</v>
      </c>
      <c r="K192" s="76">
        <f>IFERROR((Table1[[#This Row],[Sunset Time (POA&lt;20 W/m2)]]-Table1[[#This Row],[Sunrise Time (POA&gt;20 W/m2)]])*24,"")</f>
        <v>12.233333333333334</v>
      </c>
      <c r="L192" s="162" t="s">
        <v>181</v>
      </c>
      <c r="M192" s="61">
        <f>VLOOKUP(Table1[[#This Row],[Affceted Equipment]],'Basic Data'!$A$2:$C$818,2,0)</f>
        <v>2630.8</v>
      </c>
      <c r="N192" s="92">
        <f>IFERROR(VLOOKUP(Table1[[#This Row],[Affceted Equipment]],'Basic Data'!$A$2:$C$818,3,0),"")</f>
        <v>0.32799311797927916</v>
      </c>
      <c r="O192" s="115" t="s">
        <v>303</v>
      </c>
      <c r="P192" s="93" t="s">
        <v>1185</v>
      </c>
      <c r="Q192" s="93"/>
      <c r="R192" s="93" t="s">
        <v>1185</v>
      </c>
      <c r="S192" s="91">
        <v>0.55694444444444446</v>
      </c>
      <c r="T192" s="116"/>
      <c r="U192" s="116"/>
      <c r="V192" s="91">
        <v>0.58125000000000004</v>
      </c>
      <c r="W192" s="88">
        <f>IF(Table1[[#This Row],[Acknowledgemnet Time ]]="NA","",(Table1[[#This Row],[Acknowledgemnet Time ]]-Table1[[#This Row],[Fault Time]])*24)</f>
        <v>-13.366666666666667</v>
      </c>
      <c r="X192" s="88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89">
        <f>IFERROR(Table1[[#This Row],[Breakdown Time]]*Table1[[#This Row],[Plant Equivalent Weightage]],"")</f>
        <v>0.19132931882124637</v>
      </c>
      <c r="AD192" s="2">
        <v>0.56000000000000005</v>
      </c>
      <c r="AE192" s="88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4">
        <f>YEAR(Table1[[#This Row],[Date]])+IF(MONTH(Table1[[#This Row],[Date]])&gt;=4,1,0)</f>
        <v>2026</v>
      </c>
      <c r="C193" s="73">
        <f>YEAR(Table1[[#This Row],[Date]])</f>
        <v>2025</v>
      </c>
      <c r="D193" s="73" t="s">
        <v>1082</v>
      </c>
      <c r="E193" s="73" t="s">
        <v>1082</v>
      </c>
      <c r="F193" s="170">
        <f>Table1[[#This Row],[Date]]-DAY(Table1[[#This Row],[Date]])+1</f>
        <v>45748</v>
      </c>
      <c r="G193">
        <f>DAY(EOMONTH(Table1[[#This Row],[Month Year]],0))</f>
        <v>30</v>
      </c>
      <c r="H193" s="103">
        <v>45756</v>
      </c>
      <c r="I193" s="75">
        <f>IFERROR(VLOOKUP(Table1[[#This Row],[Date]],Table3[[Date]:[Sunset Time (POA&lt;20 W/m2)]],3,0),"")</f>
        <v>0.25694444444444442</v>
      </c>
      <c r="J193" s="75">
        <f>IFERROR(VLOOKUP(Table1[[#This Row],[Date]],Table3[[Date]:[Sunset Time (POA&lt;20 W/m2)]],4,0),"")</f>
        <v>0.76666666666666672</v>
      </c>
      <c r="K193" s="76">
        <f>IFERROR((Table1[[#This Row],[Sunset Time (POA&lt;20 W/m2)]]-Table1[[#This Row],[Sunrise Time (POA&gt;20 W/m2)]])*24,"")</f>
        <v>12.233333333333334</v>
      </c>
      <c r="L193" s="107" t="s">
        <v>231</v>
      </c>
      <c r="M193" s="61">
        <f>VLOOKUP(Table1[[#This Row],[Affceted Equipment]],'Basic Data'!$A$2:$C$818,2,0)</f>
        <v>669.6</v>
      </c>
      <c r="N193" s="92">
        <f>IFERROR(VLOOKUP(Table1[[#This Row],[Affceted Equipment]],'Basic Data'!$A$2:$C$818,3,0),"")</f>
        <v>8.348190352703562E-2</v>
      </c>
      <c r="O193" s="115" t="s">
        <v>323</v>
      </c>
      <c r="P193" s="93" t="s">
        <v>1088</v>
      </c>
      <c r="Q193" s="93"/>
      <c r="R193" s="93" t="s">
        <v>1088</v>
      </c>
      <c r="S193" s="91">
        <v>0.59444444444444444</v>
      </c>
      <c r="T193" s="116"/>
      <c r="U193" s="116"/>
      <c r="V193" s="91">
        <v>0.76666666666666672</v>
      </c>
      <c r="W193" s="88">
        <f>IF(Table1[[#This Row],[Acknowledgemnet Time ]]="NA","",(Table1[[#This Row],[Acknowledgemnet Time ]]-Table1[[#This Row],[Fault Time]])*24)</f>
        <v>-14.266666666666666</v>
      </c>
      <c r="X193" s="88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89">
        <f>IFERROR(Table1[[#This Row],[Breakdown Time]]*Table1[[#This Row],[Plant Equivalent Weightage]],"")</f>
        <v>0.34505853457841401</v>
      </c>
      <c r="AD193" s="2">
        <v>1.36</v>
      </c>
      <c r="AE193" s="88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4">
        <f>YEAR(Table1[[#This Row],[Date]])+IF(MONTH(Table1[[#This Row],[Date]])&gt;=4,1,0)</f>
        <v>2026</v>
      </c>
      <c r="C194" s="73">
        <f>YEAR(Table1[[#This Row],[Date]])</f>
        <v>2025</v>
      </c>
      <c r="D194" s="73" t="s">
        <v>1082</v>
      </c>
      <c r="E194" s="73" t="s">
        <v>1082</v>
      </c>
      <c r="F194" s="170">
        <f>Table1[[#This Row],[Date]]-DAY(Table1[[#This Row],[Date]])+1</f>
        <v>45748</v>
      </c>
      <c r="G194">
        <f>DAY(EOMONTH(Table1[[#This Row],[Month Year]],0))</f>
        <v>30</v>
      </c>
      <c r="H194" s="103">
        <v>45756</v>
      </c>
      <c r="I194" s="75">
        <f>IFERROR(VLOOKUP(Table1[[#This Row],[Date]],Table3[[Date]:[Sunset Time (POA&lt;20 W/m2)]],3,0),"")</f>
        <v>0.25694444444444442</v>
      </c>
      <c r="J194" s="75">
        <f>IFERROR(VLOOKUP(Table1[[#This Row],[Date]],Table3[[Date]:[Sunset Time (POA&lt;20 W/m2)]],4,0),"")</f>
        <v>0.76666666666666672</v>
      </c>
      <c r="K194" s="76">
        <f>IFERROR((Table1[[#This Row],[Sunset Time (POA&lt;20 W/m2)]]-Table1[[#This Row],[Sunrise Time (POA&gt;20 W/m2)]])*24,"")</f>
        <v>12.233333333333334</v>
      </c>
      <c r="L194" s="107" t="s">
        <v>238</v>
      </c>
      <c r="M194" s="90">
        <f>VLOOKUP(Table1[[#This Row],[Affceted Equipment]],'Basic Data'!$A$2:$C$818,2,0)</f>
        <v>658.8</v>
      </c>
      <c r="N194" s="92">
        <f>IFERROR(VLOOKUP(Table1[[#This Row],[Affceted Equipment]],'Basic Data'!$A$2:$C$818,3,0),"")</f>
        <v>8.2135421212083434E-2</v>
      </c>
      <c r="O194" s="115" t="s">
        <v>303</v>
      </c>
      <c r="P194" s="93" t="s">
        <v>1087</v>
      </c>
      <c r="Q194" s="93"/>
      <c r="R194" s="93" t="s">
        <v>1087</v>
      </c>
      <c r="S194" s="91">
        <v>0.58125000000000004</v>
      </c>
      <c r="T194" s="116"/>
      <c r="U194" s="116"/>
      <c r="V194" s="91">
        <v>0.76666666666666672</v>
      </c>
      <c r="W194" s="88">
        <f>IF(Table1[[#This Row],[Acknowledgemnet Time ]]="NA","",(Table1[[#This Row],[Acknowledgemnet Time ]]-Table1[[#This Row],[Fault Time]])*24)</f>
        <v>-13.950000000000001</v>
      </c>
      <c r="X194" s="88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89">
        <f>IFERROR(Table1[[#This Row],[Breakdown Time]]*Table1[[#This Row],[Plant Equivalent Weightage]],"")</f>
        <v>0.36550262439377129</v>
      </c>
      <c r="AD194" s="2">
        <v>1.36</v>
      </c>
      <c r="AE194" s="88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4">
        <f>YEAR(Table1[[#This Row],[Date]])+IF(MONTH(Table1[[#This Row],[Date]])&gt;=4,1,0)</f>
        <v>2026</v>
      </c>
      <c r="C195" s="73">
        <f>YEAR(Table1[[#This Row],[Date]])</f>
        <v>2025</v>
      </c>
      <c r="D195" s="73" t="s">
        <v>1082</v>
      </c>
      <c r="E195" s="73" t="s">
        <v>1082</v>
      </c>
      <c r="F195" s="170">
        <f>Table1[[#This Row],[Date]]-DAY(Table1[[#This Row],[Date]])+1</f>
        <v>45748</v>
      </c>
      <c r="G195">
        <f>DAY(EOMONTH(Table1[[#This Row],[Month Year]],0))</f>
        <v>30</v>
      </c>
      <c r="H195" s="103">
        <v>45758</v>
      </c>
      <c r="I195" s="75">
        <f>IFERROR(VLOOKUP(Table1[[#This Row],[Date]],Table3[[Date]:[Sunset Time (POA&lt;20 W/m2)]],3,0),"")</f>
        <v>0.24861111111111112</v>
      </c>
      <c r="J195" s="75">
        <f>IFERROR(VLOOKUP(Table1[[#This Row],[Date]],Table3[[Date]:[Sunset Time (POA&lt;20 W/m2)]],4,0),"")</f>
        <v>0.7680555555555556</v>
      </c>
      <c r="K195" s="76">
        <f>IFERROR((Table1[[#This Row],[Sunset Time (POA&lt;20 W/m2)]]-Table1[[#This Row],[Sunrise Time (POA&gt;20 W/m2)]])*24,"")</f>
        <v>12.466666666666669</v>
      </c>
      <c r="L195" s="162" t="s">
        <v>180</v>
      </c>
      <c r="M195" s="61">
        <f>VLOOKUP(Table1[[#This Row],[Affceted Equipment]],'Basic Data'!$A$2:$C$818,2,0)</f>
        <v>2694.6</v>
      </c>
      <c r="N195" s="92">
        <f>IFERROR(VLOOKUP(Table1[[#This Row],[Affceted Equipment]],'Basic Data'!$A$2:$C$818,3,0),"")</f>
        <v>0.33594733758057077</v>
      </c>
      <c r="O195" s="115" t="s">
        <v>323</v>
      </c>
      <c r="P195" s="93" t="s">
        <v>1185</v>
      </c>
      <c r="Q195" s="93"/>
      <c r="R195" s="93" t="s">
        <v>1185</v>
      </c>
      <c r="S195" s="91">
        <v>0.55625000000000002</v>
      </c>
      <c r="T195" s="116"/>
      <c r="U195" s="116"/>
      <c r="V195" s="91">
        <v>0.5708333333333333</v>
      </c>
      <c r="W195" s="88">
        <f>IF(Table1[[#This Row],[Acknowledgemnet Time ]]="NA","",(Table1[[#This Row],[Acknowledgemnet Time ]]-Table1[[#This Row],[Fault Time]])*24)</f>
        <v>-13.350000000000001</v>
      </c>
      <c r="X195" s="88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89">
        <f>IFERROR(Table1[[#This Row],[Breakdown Time]]*Table1[[#This Row],[Plant Equivalent Weightage]],"")</f>
        <v>0.11758156815319935</v>
      </c>
      <c r="AD195" s="2">
        <v>0.3</v>
      </c>
      <c r="AE195" s="88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4">
        <f>YEAR(Table1[[#This Row],[Date]])+IF(MONTH(Table1[[#This Row],[Date]])&gt;=4,1,0)</f>
        <v>2026</v>
      </c>
      <c r="C196" s="73">
        <f>YEAR(Table1[[#This Row],[Date]])</f>
        <v>2025</v>
      </c>
      <c r="D196" s="73" t="s">
        <v>1082</v>
      </c>
      <c r="E196" s="73" t="s">
        <v>1082</v>
      </c>
      <c r="F196" s="170">
        <f>Table1[[#This Row],[Date]]-DAY(Table1[[#This Row],[Date]])+1</f>
        <v>45748</v>
      </c>
      <c r="G196">
        <f>DAY(EOMONTH(Table1[[#This Row],[Month Year]],0))</f>
        <v>30</v>
      </c>
      <c r="H196" s="103">
        <v>45758</v>
      </c>
      <c r="I196" s="75">
        <f>IFERROR(VLOOKUP(Table1[[#This Row],[Date]],Table3[[Date]:[Sunset Time (POA&lt;20 W/m2)]],3,0),"")</f>
        <v>0.24861111111111112</v>
      </c>
      <c r="J196" s="75">
        <f>IFERROR(VLOOKUP(Table1[[#This Row],[Date]],Table3[[Date]:[Sunset Time (POA&lt;20 W/m2)]],4,0),"")</f>
        <v>0.7680555555555556</v>
      </c>
      <c r="K196" s="76">
        <f>IFERROR((Table1[[#This Row],[Sunset Time (POA&lt;20 W/m2)]]-Table1[[#This Row],[Sunrise Time (POA&gt;20 W/m2)]])*24,"")</f>
        <v>12.466666666666669</v>
      </c>
      <c r="L196" s="162" t="s">
        <v>181</v>
      </c>
      <c r="M196" s="90">
        <f>VLOOKUP(Table1[[#This Row],[Affceted Equipment]],'Basic Data'!$A$2:$C$818,2,0)</f>
        <v>2630.8</v>
      </c>
      <c r="N196" s="92">
        <f>IFERROR(VLOOKUP(Table1[[#This Row],[Affceted Equipment]],'Basic Data'!$A$2:$C$818,3,0),"")</f>
        <v>0.32799311797927916</v>
      </c>
      <c r="O196" s="115" t="s">
        <v>303</v>
      </c>
      <c r="P196" s="93" t="s">
        <v>1185</v>
      </c>
      <c r="Q196" s="93"/>
      <c r="R196" s="93" t="s">
        <v>1185</v>
      </c>
      <c r="S196" s="91">
        <v>0.55972222222222223</v>
      </c>
      <c r="T196" s="116"/>
      <c r="U196" s="116"/>
      <c r="V196" s="91">
        <v>0.58194444444444449</v>
      </c>
      <c r="W196" s="88">
        <f>IF(Table1[[#This Row],[Acknowledgemnet Time ]]="NA","",(Table1[[#This Row],[Acknowledgemnet Time ]]-Table1[[#This Row],[Fault Time]])*24)</f>
        <v>-13.433333333333334</v>
      </c>
      <c r="X196" s="88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89">
        <f>IFERROR(Table1[[#This Row],[Breakdown Time]]*Table1[[#This Row],[Plant Equivalent Weightage]],"")</f>
        <v>0.17492966292228246</v>
      </c>
      <c r="AD196" s="2">
        <v>0.45</v>
      </c>
      <c r="AE196" s="88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4">
        <f>YEAR(Table1[[#This Row],[Date]])+IF(MONTH(Table1[[#This Row],[Date]])&gt;=4,1,0)</f>
        <v>2026</v>
      </c>
      <c r="C197" s="73">
        <f>YEAR(Table1[[#This Row],[Date]])</f>
        <v>2025</v>
      </c>
      <c r="D197" s="73" t="s">
        <v>1082</v>
      </c>
      <c r="E197" s="73" t="s">
        <v>1082</v>
      </c>
      <c r="F197" s="170">
        <f>Table1[[#This Row],[Date]]-DAY(Table1[[#This Row],[Date]])+1</f>
        <v>45748</v>
      </c>
      <c r="G197">
        <f>DAY(EOMONTH(Table1[[#This Row],[Month Year]],0))</f>
        <v>30</v>
      </c>
      <c r="H197" s="103">
        <v>45759</v>
      </c>
      <c r="I197" s="75">
        <f>IFERROR(VLOOKUP(Table1[[#This Row],[Date]],Table3[[Date]:[Sunset Time (POA&lt;20 W/m2)]],3,0),"")</f>
        <v>0.25347222222222221</v>
      </c>
      <c r="J197" s="75">
        <f>IFERROR(VLOOKUP(Table1[[#This Row],[Date]],Table3[[Date]:[Sunset Time (POA&lt;20 W/m2)]],4,0),"")</f>
        <v>0.76736111111111116</v>
      </c>
      <c r="K197" s="76">
        <f>IFERROR((Table1[[#This Row],[Sunset Time (POA&lt;20 W/m2)]]-Table1[[#This Row],[Sunrise Time (POA&gt;20 W/m2)]])*24,"")</f>
        <v>12.333333333333336</v>
      </c>
      <c r="L197" s="162" t="s">
        <v>180</v>
      </c>
      <c r="M197" s="61">
        <f>VLOOKUP(Table1[[#This Row],[Affceted Equipment]],'Basic Data'!$A$2:$C$818,2,0)</f>
        <v>2694.6</v>
      </c>
      <c r="N197" s="92">
        <f>IFERROR(VLOOKUP(Table1[[#This Row],[Affceted Equipment]],'Basic Data'!$A$2:$C$818,3,0),"")</f>
        <v>0.33594733758057077</v>
      </c>
      <c r="O197" s="115" t="s">
        <v>323</v>
      </c>
      <c r="P197" s="93" t="s">
        <v>1185</v>
      </c>
      <c r="Q197" s="93"/>
      <c r="R197" s="93" t="s">
        <v>1185</v>
      </c>
      <c r="S197" s="91">
        <v>0.54583333333333328</v>
      </c>
      <c r="T197" s="116"/>
      <c r="U197" s="116"/>
      <c r="V197" s="91">
        <v>0.56111111111111112</v>
      </c>
      <c r="W197" s="88">
        <f>IF(Table1[[#This Row],[Acknowledgemnet Time ]]="NA","",(Table1[[#This Row],[Acknowledgemnet Time ]]-Table1[[#This Row],[Fault Time]])*24)</f>
        <v>-13.099999999999998</v>
      </c>
      <c r="X197" s="88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89">
        <f>IFERROR(Table1[[#This Row],[Breakdown Time]]*Table1[[#This Row],[Plant Equivalent Weightage]],"")</f>
        <v>0.12318069044620975</v>
      </c>
      <c r="AD197" s="2">
        <v>0.33</v>
      </c>
      <c r="AE197" s="88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4">
        <f>YEAR(Table1[[#This Row],[Date]])+IF(MONTH(Table1[[#This Row],[Date]])&gt;=4,1,0)</f>
        <v>2026</v>
      </c>
      <c r="C198" s="73">
        <f>YEAR(Table1[[#This Row],[Date]])</f>
        <v>2025</v>
      </c>
      <c r="D198" s="73" t="s">
        <v>1082</v>
      </c>
      <c r="E198" s="73" t="s">
        <v>1082</v>
      </c>
      <c r="F198" s="170">
        <f>Table1[[#This Row],[Date]]-DAY(Table1[[#This Row],[Date]])+1</f>
        <v>45748</v>
      </c>
      <c r="G198">
        <f>DAY(EOMONTH(Table1[[#This Row],[Month Year]],0))</f>
        <v>30</v>
      </c>
      <c r="H198" s="103">
        <v>45759</v>
      </c>
      <c r="I198" s="75">
        <f>IFERROR(VLOOKUP(Table1[[#This Row],[Date]],Table3[[Date]:[Sunset Time (POA&lt;20 W/m2)]],3,0),"")</f>
        <v>0.25347222222222221</v>
      </c>
      <c r="J198" s="75">
        <f>IFERROR(VLOOKUP(Table1[[#This Row],[Date]],Table3[[Date]:[Sunset Time (POA&lt;20 W/m2)]],4,0),"")</f>
        <v>0.76736111111111116</v>
      </c>
      <c r="K198" s="76">
        <f>IFERROR((Table1[[#This Row],[Sunset Time (POA&lt;20 W/m2)]]-Table1[[#This Row],[Sunrise Time (POA&gt;20 W/m2)]])*24,"")</f>
        <v>12.333333333333336</v>
      </c>
      <c r="L198" s="162" t="s">
        <v>181</v>
      </c>
      <c r="M198" s="90">
        <f>VLOOKUP(Table1[[#This Row],[Affceted Equipment]],'Basic Data'!$A$2:$C$818,2,0)</f>
        <v>2630.8</v>
      </c>
      <c r="N198" s="92">
        <f>IFERROR(VLOOKUP(Table1[[#This Row],[Affceted Equipment]],'Basic Data'!$A$2:$C$818,3,0),"")</f>
        <v>0.32799311797927916</v>
      </c>
      <c r="O198" s="115" t="s">
        <v>303</v>
      </c>
      <c r="P198" s="93" t="s">
        <v>1185</v>
      </c>
      <c r="Q198" s="93"/>
      <c r="R198" s="93" t="s">
        <v>1185</v>
      </c>
      <c r="S198" s="91">
        <v>0.54166666666666663</v>
      </c>
      <c r="T198" s="116"/>
      <c r="U198" s="116"/>
      <c r="V198" s="91">
        <v>0.5625</v>
      </c>
      <c r="W198" s="88">
        <f>IF(Table1[[#This Row],[Acknowledgemnet Time ]]="NA","",(Table1[[#This Row],[Acknowledgemnet Time ]]-Table1[[#This Row],[Fault Time]])*24)</f>
        <v>-13</v>
      </c>
      <c r="X198" s="88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89">
        <f>IFERROR(Table1[[#This Row],[Breakdown Time]]*Table1[[#This Row],[Plant Equivalent Weightage]],"")</f>
        <v>0.16399655898963986</v>
      </c>
      <c r="AD198" s="2">
        <v>0.45</v>
      </c>
      <c r="AE198" s="88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4">
        <f>YEAR(Table1[[#This Row],[Date]])+IF(MONTH(Table1[[#This Row],[Date]])&gt;=4,1,0)</f>
        <v>2026</v>
      </c>
      <c r="C199" s="73">
        <f>YEAR(Table1[[#This Row],[Date]])</f>
        <v>2025</v>
      </c>
      <c r="D199" s="73" t="s">
        <v>1082</v>
      </c>
      <c r="E199" s="73" t="s">
        <v>1082</v>
      </c>
      <c r="F199" s="170">
        <f>Table1[[#This Row],[Date]]-DAY(Table1[[#This Row],[Date]])+1</f>
        <v>45748</v>
      </c>
      <c r="G199">
        <f>DAY(EOMONTH(Table1[[#This Row],[Month Year]],0))</f>
        <v>30</v>
      </c>
      <c r="H199" s="103">
        <v>45760</v>
      </c>
      <c r="I199" s="75">
        <f>IFERROR(VLOOKUP(Table1[[#This Row],[Date]],Table3[[Date]:[Sunset Time (POA&lt;20 W/m2)]],3,0),"")</f>
        <v>0.25138888888888888</v>
      </c>
      <c r="J199" s="75">
        <f>IFERROR(VLOOKUP(Table1[[#This Row],[Date]],Table3[[Date]:[Sunset Time (POA&lt;20 W/m2)]],4,0),"")</f>
        <v>0.76875000000000004</v>
      </c>
      <c r="K199" s="76">
        <f>IFERROR((Table1[[#This Row],[Sunset Time (POA&lt;20 W/m2)]]-Table1[[#This Row],[Sunrise Time (POA&gt;20 W/m2)]])*24,"")</f>
        <v>12.416666666666668</v>
      </c>
      <c r="L199" s="162" t="s">
        <v>181</v>
      </c>
      <c r="M199" s="61">
        <f>VLOOKUP(Table1[[#This Row],[Affceted Equipment]],'Basic Data'!$A$2:$C$818,2,0)</f>
        <v>2630.8</v>
      </c>
      <c r="N199" s="92">
        <f>IFERROR(VLOOKUP(Table1[[#This Row],[Affceted Equipment]],'Basic Data'!$A$2:$C$818,3,0),"")</f>
        <v>0.32799311797927916</v>
      </c>
      <c r="O199" s="115" t="s">
        <v>303</v>
      </c>
      <c r="P199" s="93" t="s">
        <v>1185</v>
      </c>
      <c r="Q199" s="93"/>
      <c r="R199" s="93" t="s">
        <v>1185</v>
      </c>
      <c r="S199" s="91">
        <v>0.53888888888888886</v>
      </c>
      <c r="T199" s="116"/>
      <c r="U199" s="116"/>
      <c r="V199" s="91">
        <v>0.54791666666666672</v>
      </c>
      <c r="W199" s="88">
        <f>IF(Table1[[#This Row],[Acknowledgemnet Time ]]="NA","",(Table1[[#This Row],[Acknowledgemnet Time ]]-Table1[[#This Row],[Fault Time]])*24)</f>
        <v>-12.933333333333334</v>
      </c>
      <c r="X199" s="88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89">
        <f>IFERROR(Table1[[#This Row],[Breakdown Time]]*Table1[[#This Row],[Plant Equivalent Weightage]],"")</f>
        <v>7.1065175562177771E-2</v>
      </c>
      <c r="AD199" s="2">
        <v>0.21</v>
      </c>
      <c r="AE199" s="88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4">
        <f>YEAR(Table1[[#This Row],[Date]])+IF(MONTH(Table1[[#This Row],[Date]])&gt;=4,1,0)</f>
        <v>2026</v>
      </c>
      <c r="C200" s="73">
        <f>YEAR(Table1[[#This Row],[Date]])</f>
        <v>2025</v>
      </c>
      <c r="D200" s="73" t="s">
        <v>1082</v>
      </c>
      <c r="E200" s="73" t="s">
        <v>1082</v>
      </c>
      <c r="F200" s="170">
        <f>Table1[[#This Row],[Date]]-DAY(Table1[[#This Row],[Date]])+1</f>
        <v>45748</v>
      </c>
      <c r="G200">
        <f>DAY(EOMONTH(Table1[[#This Row],[Month Year]],0))</f>
        <v>30</v>
      </c>
      <c r="H200" s="103">
        <v>45760</v>
      </c>
      <c r="I200" s="75">
        <f>IFERROR(VLOOKUP(Table1[[#This Row],[Date]],Table3[[Date]:[Sunset Time (POA&lt;20 W/m2)]],3,0),"")</f>
        <v>0.25138888888888888</v>
      </c>
      <c r="J200" s="75">
        <f>IFERROR(VLOOKUP(Table1[[#This Row],[Date]],Table3[[Date]:[Sunset Time (POA&lt;20 W/m2)]],4,0),"")</f>
        <v>0.76875000000000004</v>
      </c>
      <c r="K200" s="76">
        <f>IFERROR((Table1[[#This Row],[Sunset Time (POA&lt;20 W/m2)]]-Table1[[#This Row],[Sunrise Time (POA&gt;20 W/m2)]])*24,"")</f>
        <v>12.416666666666668</v>
      </c>
      <c r="L200" s="162" t="s">
        <v>180</v>
      </c>
      <c r="M200" s="90">
        <f>VLOOKUP(Table1[[#This Row],[Affceted Equipment]],'Basic Data'!$A$2:$C$818,2,0)</f>
        <v>2694.6</v>
      </c>
      <c r="N200" s="92">
        <f>IFERROR(VLOOKUP(Table1[[#This Row],[Affceted Equipment]],'Basic Data'!$A$2:$C$818,3,0),"")</f>
        <v>0.33594733758057077</v>
      </c>
      <c r="O200" s="115" t="s">
        <v>323</v>
      </c>
      <c r="P200" s="93" t="s">
        <v>1185</v>
      </c>
      <c r="Q200" s="93"/>
      <c r="R200" s="93" t="s">
        <v>1185</v>
      </c>
      <c r="S200" s="91">
        <v>0.55000000000000004</v>
      </c>
      <c r="T200" s="116"/>
      <c r="U200" s="116"/>
      <c r="V200" s="91">
        <v>0.55486111111111114</v>
      </c>
      <c r="W200" s="88">
        <f>IF(Table1[[#This Row],[Acknowledgemnet Time ]]="NA","",(Table1[[#This Row],[Acknowledgemnet Time ]]-Table1[[#This Row],[Fault Time]])*24)</f>
        <v>-13.200000000000001</v>
      </c>
      <c r="X200" s="88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89">
        <f>IFERROR(Table1[[#This Row],[Breakdown Time]]*Table1[[#This Row],[Plant Equivalent Weightage]],"")</f>
        <v>3.9193856051066449E-2</v>
      </c>
      <c r="AD200" s="2">
        <v>0.12</v>
      </c>
      <c r="AE200" s="88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4">
        <f>YEAR(Table1[[#This Row],[Date]])+IF(MONTH(Table1[[#This Row],[Date]])&gt;=4,1,0)</f>
        <v>2026</v>
      </c>
      <c r="C201" s="73">
        <f>YEAR(Table1[[#This Row],[Date]])</f>
        <v>2025</v>
      </c>
      <c r="D201" s="73" t="s">
        <v>1082</v>
      </c>
      <c r="E201" s="73" t="s">
        <v>1082</v>
      </c>
      <c r="F201" s="170">
        <f>Table1[[#This Row],[Date]]-DAY(Table1[[#This Row],[Date]])+1</f>
        <v>45748</v>
      </c>
      <c r="G201">
        <f>DAY(EOMONTH(Table1[[#This Row],[Month Year]],0))</f>
        <v>30</v>
      </c>
      <c r="H201" s="103">
        <v>45760</v>
      </c>
      <c r="I201" s="75">
        <f>IFERROR(VLOOKUP(Table1[[#This Row],[Date]],Table3[[Date]:[Sunset Time (POA&lt;20 W/m2)]],3,0),"")</f>
        <v>0.25138888888888888</v>
      </c>
      <c r="J201" s="75">
        <f>IFERROR(VLOOKUP(Table1[[#This Row],[Date]],Table3[[Date]:[Sunset Time (POA&lt;20 W/m2)]],4,0),"")</f>
        <v>0.76875000000000004</v>
      </c>
      <c r="K201" s="76">
        <f>IFERROR((Table1[[#This Row],[Sunset Time (POA&lt;20 W/m2)]]-Table1[[#This Row],[Sunrise Time (POA&gt;20 W/m2)]])*24,"")</f>
        <v>12.416666666666668</v>
      </c>
      <c r="L201" s="107" t="s">
        <v>180</v>
      </c>
      <c r="M201" s="90">
        <f>VLOOKUP(Table1[[#This Row],[Affceted Equipment]],'Basic Data'!$A$2:$C$818,2,0)</f>
        <v>2694.6</v>
      </c>
      <c r="N201" s="92">
        <f>IFERROR(VLOOKUP(Table1[[#This Row],[Affceted Equipment]],'Basic Data'!$A$2:$C$818,3,0),"")</f>
        <v>0.33594733758057077</v>
      </c>
      <c r="O201" s="115" t="s">
        <v>323</v>
      </c>
      <c r="P201" s="93" t="s">
        <v>1185</v>
      </c>
      <c r="Q201" s="93"/>
      <c r="R201" s="93" t="s">
        <v>1185</v>
      </c>
      <c r="S201" s="91">
        <v>0.56458333333333333</v>
      </c>
      <c r="T201" s="116"/>
      <c r="U201" s="116"/>
      <c r="V201" s="91">
        <v>0.56874999999999998</v>
      </c>
      <c r="W201" s="88">
        <f>IF(Table1[[#This Row],[Acknowledgemnet Time ]]="NA","",(Table1[[#This Row],[Acknowledgemnet Time ]]-Table1[[#This Row],[Fault Time]])*24)</f>
        <v>-13.55</v>
      </c>
      <c r="X201" s="88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89">
        <f>IFERROR(Table1[[#This Row],[Breakdown Time]]*Table1[[#This Row],[Plant Equivalent Weightage]],"")</f>
        <v>3.3594733758056959E-2</v>
      </c>
      <c r="AD201" s="2">
        <v>0.11</v>
      </c>
      <c r="AE201" s="88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4">
        <f>YEAR(Table1[[#This Row],[Date]])+IF(MONTH(Table1[[#This Row],[Date]])&gt;=4,1,0)</f>
        <v>2026</v>
      </c>
      <c r="C202" s="73">
        <f>YEAR(Table1[[#This Row],[Date]])</f>
        <v>2025</v>
      </c>
      <c r="D202" s="73" t="s">
        <v>1082</v>
      </c>
      <c r="E202" s="73" t="s">
        <v>1082</v>
      </c>
      <c r="F202" s="170">
        <f>Table1[[#This Row],[Date]]-DAY(Table1[[#This Row],[Date]])+1</f>
        <v>45748</v>
      </c>
      <c r="G202">
        <f>DAY(EOMONTH(Table1[[#This Row],[Month Year]],0))</f>
        <v>30</v>
      </c>
      <c r="H202" s="103">
        <v>45761</v>
      </c>
      <c r="I202" s="75">
        <f>IFERROR(VLOOKUP(Table1[[#This Row],[Date]],Table3[[Date]:[Sunset Time (POA&lt;20 W/m2)]],3,0),"")</f>
        <v>0.25069444444444444</v>
      </c>
      <c r="J202" s="75">
        <f>IFERROR(VLOOKUP(Table1[[#This Row],[Date]],Table3[[Date]:[Sunset Time (POA&lt;20 W/m2)]],4,0),"")</f>
        <v>0.77013888888888893</v>
      </c>
      <c r="K202" s="76">
        <f>IFERROR((Table1[[#This Row],[Sunset Time (POA&lt;20 W/m2)]]-Table1[[#This Row],[Sunrise Time (POA&gt;20 W/m2)]])*24,"")</f>
        <v>12.466666666666669</v>
      </c>
      <c r="L202" s="162" t="s">
        <v>180</v>
      </c>
      <c r="M202" s="61">
        <f>VLOOKUP(Table1[[#This Row],[Affceted Equipment]],'Basic Data'!$A$2:$C$818,2,0)</f>
        <v>2694.6</v>
      </c>
      <c r="N202" s="92">
        <f>IFERROR(VLOOKUP(Table1[[#This Row],[Affceted Equipment]],'Basic Data'!$A$2:$C$818,3,0),"")</f>
        <v>0.33594733758057077</v>
      </c>
      <c r="O202" s="115" t="s">
        <v>323</v>
      </c>
      <c r="P202" s="93" t="s">
        <v>1185</v>
      </c>
      <c r="Q202" s="93"/>
      <c r="R202" s="93" t="s">
        <v>1185</v>
      </c>
      <c r="S202" s="91">
        <v>0.52708333333333335</v>
      </c>
      <c r="T202" s="116"/>
      <c r="U202" s="116"/>
      <c r="V202" s="91">
        <v>0.54097222222222219</v>
      </c>
      <c r="W202" s="88">
        <f>IF(Table1[[#This Row],[Acknowledgemnet Time ]]="NA","",(Table1[[#This Row],[Acknowledgemnet Time ]]-Table1[[#This Row],[Fault Time]])*24)</f>
        <v>-12.65</v>
      </c>
      <c r="X202" s="88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89">
        <f>IFERROR(Table1[[#This Row],[Breakdown Time]]*Table1[[#This Row],[Plant Equivalent Weightage]],"")</f>
        <v>0.11198244586018986</v>
      </c>
      <c r="AD202" s="2">
        <v>0.33</v>
      </c>
      <c r="AE202" s="88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4">
        <f>YEAR(Table1[[#This Row],[Date]])+IF(MONTH(Table1[[#This Row],[Date]])&gt;=4,1,0)</f>
        <v>2026</v>
      </c>
      <c r="C203" s="73">
        <f>YEAR(Table1[[#This Row],[Date]])</f>
        <v>2025</v>
      </c>
      <c r="D203" s="73" t="s">
        <v>1082</v>
      </c>
      <c r="E203" s="73" t="s">
        <v>1082</v>
      </c>
      <c r="F203" s="170">
        <f>Table1[[#This Row],[Date]]-DAY(Table1[[#This Row],[Date]])+1</f>
        <v>45748</v>
      </c>
      <c r="G203">
        <f>DAY(EOMONTH(Table1[[#This Row],[Month Year]],0))</f>
        <v>30</v>
      </c>
      <c r="H203" s="103">
        <v>45761</v>
      </c>
      <c r="I203" s="75">
        <f>IFERROR(VLOOKUP(Table1[[#This Row],[Date]],Table3[[Date]:[Sunset Time (POA&lt;20 W/m2)]],3,0),"")</f>
        <v>0.25069444444444444</v>
      </c>
      <c r="J203" s="75">
        <f>IFERROR(VLOOKUP(Table1[[#This Row],[Date]],Table3[[Date]:[Sunset Time (POA&lt;20 W/m2)]],4,0),"")</f>
        <v>0.77013888888888893</v>
      </c>
      <c r="K203" s="76">
        <f>IFERROR((Table1[[#This Row],[Sunset Time (POA&lt;20 W/m2)]]-Table1[[#This Row],[Sunrise Time (POA&gt;20 W/m2)]])*24,"")</f>
        <v>12.466666666666669</v>
      </c>
      <c r="L203" s="162" t="s">
        <v>181</v>
      </c>
      <c r="M203" s="90">
        <f>VLOOKUP(Table1[[#This Row],[Affceted Equipment]],'Basic Data'!$A$2:$C$818,2,0)</f>
        <v>2630.8</v>
      </c>
      <c r="N203" s="92">
        <f>IFERROR(VLOOKUP(Table1[[#This Row],[Affceted Equipment]],'Basic Data'!$A$2:$C$818,3,0),"")</f>
        <v>0.32799311797927916</v>
      </c>
      <c r="O203" s="115" t="s">
        <v>303</v>
      </c>
      <c r="P203" s="93" t="s">
        <v>1185</v>
      </c>
      <c r="Q203" s="93"/>
      <c r="R203" s="93" t="s">
        <v>1185</v>
      </c>
      <c r="S203" s="91">
        <v>0.52638888888888891</v>
      </c>
      <c r="T203" s="116"/>
      <c r="U203" s="116"/>
      <c r="V203" s="91">
        <v>0.55069444444444449</v>
      </c>
      <c r="W203" s="88">
        <f>IF(Table1[[#This Row],[Acknowledgemnet Time ]]="NA","",(Table1[[#This Row],[Acknowledgemnet Time ]]-Table1[[#This Row],[Fault Time]])*24)</f>
        <v>-12.633333333333333</v>
      </c>
      <c r="X203" s="88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89">
        <f>IFERROR(Table1[[#This Row],[Breakdown Time]]*Table1[[#This Row],[Plant Equivalent Weightage]],"")</f>
        <v>0.19132931882124637</v>
      </c>
      <c r="AD203" s="2">
        <v>0.56000000000000005</v>
      </c>
      <c r="AE203" s="88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4">
        <f>YEAR(Table1[[#This Row],[Date]])+IF(MONTH(Table1[[#This Row],[Date]])&gt;=4,1,0)</f>
        <v>2026</v>
      </c>
      <c r="C204" s="73">
        <f>YEAR(Table1[[#This Row],[Date]])</f>
        <v>2025</v>
      </c>
      <c r="D204" s="73" t="s">
        <v>1082</v>
      </c>
      <c r="E204" s="73" t="s">
        <v>1082</v>
      </c>
      <c r="F204" s="170">
        <f>Table1[[#This Row],[Date]]-DAY(Table1[[#This Row],[Date]])+1</f>
        <v>45748</v>
      </c>
      <c r="G204">
        <f>DAY(EOMONTH(Table1[[#This Row],[Month Year]],0))</f>
        <v>30</v>
      </c>
      <c r="H204" s="103">
        <v>45762</v>
      </c>
      <c r="I204" s="75">
        <f>IFERROR(VLOOKUP(Table1[[#This Row],[Date]],Table3[[Date]:[Sunset Time (POA&lt;20 W/m2)]],3,0),"")</f>
        <v>0.25069444444444444</v>
      </c>
      <c r="J204" s="75">
        <f>IFERROR(VLOOKUP(Table1[[#This Row],[Date]],Table3[[Date]:[Sunset Time (POA&lt;20 W/m2)]],4,0),"")</f>
        <v>0.77569444444444446</v>
      </c>
      <c r="K204" s="76">
        <f>IFERROR((Table1[[#This Row],[Sunset Time (POA&lt;20 W/m2)]]-Table1[[#This Row],[Sunrise Time (POA&gt;20 W/m2)]])*24,"")</f>
        <v>12.600000000000001</v>
      </c>
      <c r="L204" s="162" t="s">
        <v>181</v>
      </c>
      <c r="M204" s="90">
        <f>VLOOKUP(Table1[[#This Row],[Affceted Equipment]],'Basic Data'!$A$2:$C$818,2,0)</f>
        <v>2630.8</v>
      </c>
      <c r="N204" s="92">
        <f>IFERROR(VLOOKUP(Table1[[#This Row],[Affceted Equipment]],'Basic Data'!$A$2:$C$818,3,0),"")</f>
        <v>0.32799311797927916</v>
      </c>
      <c r="O204" s="115" t="s">
        <v>303</v>
      </c>
      <c r="P204" s="93" t="s">
        <v>1185</v>
      </c>
      <c r="Q204" s="93"/>
      <c r="R204" s="93" t="s">
        <v>1185</v>
      </c>
      <c r="S204" s="91">
        <v>0.52430555555555558</v>
      </c>
      <c r="T204" s="116"/>
      <c r="U204" s="116"/>
      <c r="V204" s="91">
        <v>0.53472222222222221</v>
      </c>
      <c r="W204" s="88">
        <f>IF(Table1[[#This Row],[Acknowledgemnet Time ]]="NA","",(Table1[[#This Row],[Acknowledgemnet Time ]]-Table1[[#This Row],[Fault Time]])*24)</f>
        <v>-12.583333333333334</v>
      </c>
      <c r="X204" s="88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89">
        <f>IFERROR(Table1[[#This Row],[Breakdown Time]]*Table1[[#This Row],[Plant Equivalent Weightage]],"")</f>
        <v>8.1998279494819498E-2</v>
      </c>
      <c r="AD204" s="2">
        <v>0.23</v>
      </c>
      <c r="AE204" s="88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4">
        <f>YEAR(Table1[[#This Row],[Date]])+IF(MONTH(Table1[[#This Row],[Date]])&gt;=4,1,0)</f>
        <v>2026</v>
      </c>
      <c r="C205" s="73">
        <f>YEAR(Table1[[#This Row],[Date]])</f>
        <v>2025</v>
      </c>
      <c r="D205" s="73" t="s">
        <v>1082</v>
      </c>
      <c r="E205" s="73" t="s">
        <v>1082</v>
      </c>
      <c r="F205" s="170">
        <f>Table1[[#This Row],[Date]]-DAY(Table1[[#This Row],[Date]])+1</f>
        <v>45748</v>
      </c>
      <c r="G205">
        <f>DAY(EOMONTH(Table1[[#This Row],[Month Year]],0))</f>
        <v>30</v>
      </c>
      <c r="H205" s="103">
        <v>45763</v>
      </c>
      <c r="I205" s="75">
        <f>IFERROR(VLOOKUP(Table1[[#This Row],[Date]],Table3[[Date]:[Sunset Time (POA&lt;20 W/m2)]],3,0),"")</f>
        <v>0.25</v>
      </c>
      <c r="J205" s="75">
        <f>IFERROR(VLOOKUP(Table1[[#This Row],[Date]],Table3[[Date]:[Sunset Time (POA&lt;20 W/m2)]],4,0),"")</f>
        <v>0.77083333333333337</v>
      </c>
      <c r="K205" s="76">
        <f>IFERROR((Table1[[#This Row],[Sunset Time (POA&lt;20 W/m2)]]-Table1[[#This Row],[Sunrise Time (POA&gt;20 W/m2)]])*24,"")</f>
        <v>12.5</v>
      </c>
      <c r="L205" s="162" t="s">
        <v>180</v>
      </c>
      <c r="M205" s="61">
        <f>VLOOKUP(Table1[[#This Row],[Affceted Equipment]],'Basic Data'!$A$2:$C$818,2,0)</f>
        <v>2694.6</v>
      </c>
      <c r="N205" s="92">
        <f>IFERROR(VLOOKUP(Table1[[#This Row],[Affceted Equipment]],'Basic Data'!$A$2:$C$818,3,0),"")</f>
        <v>0.33594733758057077</v>
      </c>
      <c r="O205" s="115" t="s">
        <v>323</v>
      </c>
      <c r="P205" s="93" t="s">
        <v>325</v>
      </c>
      <c r="Q205" s="93"/>
      <c r="R205" s="93" t="s">
        <v>325</v>
      </c>
      <c r="S205" s="91">
        <v>0.63611111111111107</v>
      </c>
      <c r="T205" s="116"/>
      <c r="U205" s="116"/>
      <c r="V205" s="91">
        <v>0.65972222222222221</v>
      </c>
      <c r="W205" s="88">
        <f>IF(Table1[[#This Row],[Acknowledgemnet Time ]]="NA","",(Table1[[#This Row],[Acknowledgemnet Time ]]-Table1[[#This Row],[Fault Time]])*24)</f>
        <v>-15.266666666666666</v>
      </c>
      <c r="X205" s="88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89">
        <f>IFERROR(Table1[[#This Row],[Breakdown Time]]*Table1[[#This Row],[Plant Equivalent Weightage]],"")</f>
        <v>0.19037015796232365</v>
      </c>
      <c r="AD205" s="2">
        <v>0.27</v>
      </c>
      <c r="AE205" s="88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4">
        <f>YEAR(Table1[[#This Row],[Date]])+IF(MONTH(Table1[[#This Row],[Date]])&gt;=4,1,0)</f>
        <v>2026</v>
      </c>
      <c r="C206" s="73">
        <f>YEAR(Table1[[#This Row],[Date]])</f>
        <v>2025</v>
      </c>
      <c r="D206" s="73" t="s">
        <v>1082</v>
      </c>
      <c r="E206" s="73" t="s">
        <v>1082</v>
      </c>
      <c r="F206" s="178">
        <f>Table1[[#This Row],[Date]]-DAY(Table1[[#This Row],[Date]])+1</f>
        <v>45748</v>
      </c>
      <c r="G206">
        <f>DAY(EOMONTH(Table1[[#This Row],[Month Year]],0))</f>
        <v>30</v>
      </c>
      <c r="H206" s="103">
        <v>45776</v>
      </c>
      <c r="I206" s="75">
        <f>IFERROR(VLOOKUP(Table1[[#This Row],[Date]],Table3[[Date]:[Sunset Time (POA&lt;20 W/m2)]],3,0),"")</f>
        <v>0.25208333333333333</v>
      </c>
      <c r="J206" s="75">
        <f>IFERROR(VLOOKUP(Table1[[#This Row],[Date]],Table3[[Date]:[Sunset Time (POA&lt;20 W/m2)]],4,0),"")</f>
        <v>0.77708333333333335</v>
      </c>
      <c r="K206" s="76">
        <f>IFERROR((Table1[[#This Row],[Sunset Time (POA&lt;20 W/m2)]]-Table1[[#This Row],[Sunrise Time (POA&gt;20 W/m2)]])*24,"")</f>
        <v>12.600000000000001</v>
      </c>
      <c r="L206" s="107" t="s">
        <v>181</v>
      </c>
      <c r="M206" s="90">
        <f>VLOOKUP(Table1[[#This Row],[Affceted Equipment]],'Basic Data'!$A$2:$C$818,2,0)</f>
        <v>2630.8</v>
      </c>
      <c r="N206" s="92">
        <f>IFERROR(VLOOKUP(Table1[[#This Row],[Affceted Equipment]],'Basic Data'!$A$2:$C$818,3,0),"")</f>
        <v>0.32799311797927916</v>
      </c>
      <c r="O206" s="115" t="s">
        <v>303</v>
      </c>
      <c r="P206" s="93" t="s">
        <v>325</v>
      </c>
      <c r="Q206" s="93"/>
      <c r="R206" s="93" t="s">
        <v>325</v>
      </c>
      <c r="S206" s="91">
        <v>0.65972222222222221</v>
      </c>
      <c r="T206" s="116"/>
      <c r="U206" s="116"/>
      <c r="V206" s="91">
        <v>0.67500000000000004</v>
      </c>
      <c r="W206" s="88">
        <f>IF(Table1[[#This Row],[Acknowledgemnet Time ]]="NA","",(Table1[[#This Row],[Acknowledgemnet Time ]]-Table1[[#This Row],[Fault Time]])*24)</f>
        <v>-15.833333333333332</v>
      </c>
      <c r="X206" s="88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89">
        <f>IFERROR(Table1[[#This Row],[Breakdown Time]]*Table1[[#This Row],[Plant Equivalent Weightage]],"")</f>
        <v>0.12026414325906948</v>
      </c>
      <c r="AD206" s="2">
        <v>0.04</v>
      </c>
      <c r="AE206" s="88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4">
        <f>YEAR(Table1[[#This Row],[Date]])+IF(MONTH(Table1[[#This Row],[Date]])&gt;=4,1,0)</f>
        <v>2026</v>
      </c>
      <c r="C207" s="73">
        <f>YEAR(Table1[[#This Row],[Date]])</f>
        <v>2025</v>
      </c>
      <c r="D207" s="73" t="s">
        <v>1082</v>
      </c>
      <c r="E207" s="73" t="s">
        <v>1082</v>
      </c>
      <c r="F207" s="170">
        <f>Table1[[#This Row],[Date]]-DAY(Table1[[#This Row],[Date]])+1</f>
        <v>45778</v>
      </c>
      <c r="G207">
        <f>DAY(EOMONTH(Table1[[#This Row],[Month Year]],0))</f>
        <v>31</v>
      </c>
      <c r="H207" s="103">
        <v>45792</v>
      </c>
      <c r="I207" s="75">
        <f>IFERROR(VLOOKUP(Table1[[#This Row],[Date]],Table3[[Date]:[Sunset Time (POA&lt;20 W/m2)]],3,0),"")</f>
        <v>0.26874999999999999</v>
      </c>
      <c r="J207" s="75">
        <f>IFERROR(VLOOKUP(Table1[[#This Row],[Date]],Table3[[Date]:[Sunset Time (POA&lt;20 W/m2)]],4,0),"")</f>
        <v>0.77708333333333335</v>
      </c>
      <c r="K207" s="76">
        <f>IFERROR((Table1[[#This Row],[Sunset Time (POA&lt;20 W/m2)]]-Table1[[#This Row],[Sunrise Time (POA&gt;20 W/m2)]])*24,"")</f>
        <v>12.2</v>
      </c>
      <c r="L207" s="107" t="s">
        <v>181</v>
      </c>
      <c r="M207" s="61">
        <f>VLOOKUP(Table1[[#This Row],[Affceted Equipment]],'Basic Data'!$A$2:$C$818,2,0)</f>
        <v>2630.8</v>
      </c>
      <c r="N207" s="92">
        <f>IFERROR(VLOOKUP(Table1[[#This Row],[Affceted Equipment]],'Basic Data'!$A$2:$C$818,3,0),"")</f>
        <v>0.32799311797927916</v>
      </c>
      <c r="O207" s="115" t="s">
        <v>303</v>
      </c>
      <c r="P207" s="93" t="s">
        <v>325</v>
      </c>
      <c r="Q207" s="93"/>
      <c r="R207" s="93" t="s">
        <v>325</v>
      </c>
      <c r="S207" s="91">
        <v>0.31736111111111109</v>
      </c>
      <c r="T207" s="116"/>
      <c r="U207" s="116"/>
      <c r="V207" s="91">
        <v>0.42986111111111114</v>
      </c>
      <c r="W207" s="88">
        <f>IF(Table1[[#This Row],[Acknowledgemnet Time ]]="NA","",(Table1[[#This Row],[Acknowledgemnet Time ]]-Table1[[#This Row],[Fault Time]])*24)</f>
        <v>-7.6166666666666663</v>
      </c>
      <c r="X207" s="88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89">
        <f>IFERROR(Table1[[#This Row],[Breakdown Time]]*Table1[[#This Row],[Plant Equivalent Weightage]],"")</f>
        <v>0.88558141854405403</v>
      </c>
      <c r="AD207" s="2">
        <v>0.21</v>
      </c>
      <c r="AE207" s="88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4">
        <f>YEAR(Table1[[#This Row],[Date]])+IF(MONTH(Table1[[#This Row],[Date]])&gt;=4,1,0)</f>
        <v>2026</v>
      </c>
      <c r="C208" s="73">
        <f>YEAR(Table1[[#This Row],[Date]])</f>
        <v>2025</v>
      </c>
      <c r="D208" s="73" t="s">
        <v>1082</v>
      </c>
      <c r="E208" s="73" t="s">
        <v>1082</v>
      </c>
      <c r="F208" s="170">
        <f>Table1[[#This Row],[Date]]-DAY(Table1[[#This Row],[Date]])+1</f>
        <v>45778</v>
      </c>
      <c r="G208">
        <f>DAY(EOMONTH(Table1[[#This Row],[Month Year]],0))</f>
        <v>31</v>
      </c>
      <c r="H208" s="103">
        <v>45792</v>
      </c>
      <c r="I208" s="75">
        <f>IFERROR(VLOOKUP(Table1[[#This Row],[Date]],Table3[[Date]:[Sunset Time (POA&lt;20 W/m2)]],3,0),"")</f>
        <v>0.26874999999999999</v>
      </c>
      <c r="J208" s="75">
        <f>IFERROR(VLOOKUP(Table1[[#This Row],[Date]],Table3[[Date]:[Sunset Time (POA&lt;20 W/m2)]],4,0),"")</f>
        <v>0.77708333333333335</v>
      </c>
      <c r="K208" s="76">
        <f>IFERROR((Table1[[#This Row],[Sunset Time (POA&lt;20 W/m2)]]-Table1[[#This Row],[Sunrise Time (POA&gt;20 W/m2)]])*24,"")</f>
        <v>12.2</v>
      </c>
      <c r="L208" s="107" t="s">
        <v>182</v>
      </c>
      <c r="M208" s="61">
        <f>VLOOKUP(Table1[[#This Row],[Affceted Equipment]],'Basic Data'!$A$2:$C$818,2,0)</f>
        <v>2695.5</v>
      </c>
      <c r="N208" s="92">
        <f>IFERROR(VLOOKUP(Table1[[#This Row],[Affceted Equipment]],'Basic Data'!$A$2:$C$818,3,0),"")</f>
        <v>0.33605954444015013</v>
      </c>
      <c r="O208" s="115" t="s">
        <v>1199</v>
      </c>
      <c r="P208" s="93" t="s">
        <v>325</v>
      </c>
      <c r="Q208" s="93"/>
      <c r="R208" s="93" t="s">
        <v>325</v>
      </c>
      <c r="S208" s="91">
        <v>0.39305555555555555</v>
      </c>
      <c r="T208" s="116"/>
      <c r="U208" s="116"/>
      <c r="V208" s="91">
        <v>0.44791666666666669</v>
      </c>
      <c r="W208" s="88">
        <f>IF(Table1[[#This Row],[Acknowledgemnet Time ]]="NA","",(Table1[[#This Row],[Acknowledgemnet Time ]]-Table1[[#This Row],[Fault Time]])*24)</f>
        <v>-9.4333333333333336</v>
      </c>
      <c r="X208" s="88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89">
        <f>IFERROR(Table1[[#This Row],[Breakdown Time]]*Table1[[#This Row],[Plant Equivalent Weightage]],"")</f>
        <v>0.44247840017953122</v>
      </c>
      <c r="AD208" s="2">
        <v>0.22</v>
      </c>
      <c r="AE208" s="88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4">
        <f>YEAR(Table1[[#This Row],[Date]])+IF(MONTH(Table1[[#This Row],[Date]])&gt;=4,1,0)</f>
        <v>2026</v>
      </c>
      <c r="C209" s="73">
        <f>YEAR(Table1[[#This Row],[Date]])</f>
        <v>2025</v>
      </c>
      <c r="D209" s="73" t="s">
        <v>1082</v>
      </c>
      <c r="E209" s="73" t="s">
        <v>1082</v>
      </c>
      <c r="F209" s="170">
        <f>Table1[[#This Row],[Date]]-DAY(Table1[[#This Row],[Date]])+1</f>
        <v>45778</v>
      </c>
      <c r="G209">
        <f>DAY(EOMONTH(Table1[[#This Row],[Month Year]],0))</f>
        <v>31</v>
      </c>
      <c r="H209" s="103">
        <v>45792</v>
      </c>
      <c r="I209" s="75">
        <f>IFERROR(VLOOKUP(Table1[[#This Row],[Date]],Table3[[Date]:[Sunset Time (POA&lt;20 W/m2)]],3,0),"")</f>
        <v>0.26874999999999999</v>
      </c>
      <c r="J209" s="75">
        <f>IFERROR(VLOOKUP(Table1[[#This Row],[Date]],Table3[[Date]:[Sunset Time (POA&lt;20 W/m2)]],4,0),"")</f>
        <v>0.77708333333333335</v>
      </c>
      <c r="K209" s="76">
        <f>IFERROR((Table1[[#This Row],[Sunset Time (POA&lt;20 W/m2)]]-Table1[[#This Row],[Sunrise Time (POA&gt;20 W/m2)]])*24,"")</f>
        <v>12.2</v>
      </c>
      <c r="L209" s="107" t="s">
        <v>204</v>
      </c>
      <c r="M209" s="61">
        <f>VLOOKUP(Table1[[#This Row],[Affceted Equipment]],'Basic Data'!$A$2:$C$818,2,0)</f>
        <v>113.4</v>
      </c>
      <c r="N209" s="92">
        <f>IFERROR(VLOOKUP(Table1[[#This Row],[Affceted Equipment]],'Basic Data'!$A$2:$C$818,3,0),"")</f>
        <v>1.4138064306997969E-2</v>
      </c>
      <c r="O209" s="115" t="s">
        <v>303</v>
      </c>
      <c r="P209" s="93" t="s">
        <v>325</v>
      </c>
      <c r="Q209" s="93"/>
      <c r="R209" s="93" t="s">
        <v>325</v>
      </c>
      <c r="S209" s="91">
        <v>0.42986111111111114</v>
      </c>
      <c r="T209" s="116"/>
      <c r="U209" s="116"/>
      <c r="V209" s="91">
        <v>0.53402777777777777</v>
      </c>
      <c r="W209" s="88">
        <f>IF(Table1[[#This Row],[Acknowledgemnet Time ]]="NA","",(Table1[[#This Row],[Acknowledgemnet Time ]]-Table1[[#This Row],[Fault Time]])*24)</f>
        <v>-10.316666666666666</v>
      </c>
      <c r="X209" s="88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89">
        <f>IFERROR(Table1[[#This Row],[Breakdown Time]]*Table1[[#This Row],[Plant Equivalent Weightage]],"")</f>
        <v>3.5345160767494908E-2</v>
      </c>
      <c r="AD209" s="2">
        <v>0.88</v>
      </c>
      <c r="AE209" s="88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4">
        <f>YEAR(Table1[[#This Row],[Date]])+IF(MONTH(Table1[[#This Row],[Date]])&gt;=4,1,0)</f>
        <v>2026</v>
      </c>
      <c r="C210" s="73">
        <f>YEAR(Table1[[#This Row],[Date]])</f>
        <v>2025</v>
      </c>
      <c r="D210" s="73" t="s">
        <v>1082</v>
      </c>
      <c r="E210" s="73" t="s">
        <v>1082</v>
      </c>
      <c r="F210" s="178">
        <f>Table1[[#This Row],[Date]]-DAY(Table1[[#This Row],[Date]])+1</f>
        <v>45778</v>
      </c>
      <c r="G210">
        <f>DAY(EOMONTH(Table1[[#This Row],[Month Year]],0))</f>
        <v>31</v>
      </c>
      <c r="H210" s="103">
        <v>45792</v>
      </c>
      <c r="I210" s="75">
        <f>IFERROR(VLOOKUP(Table1[[#This Row],[Date]],Table3[[Date]:[Sunset Time (POA&lt;20 W/m2)]],3,0),"")</f>
        <v>0.26874999999999999</v>
      </c>
      <c r="J210" s="75">
        <f>IFERROR(VLOOKUP(Table1[[#This Row],[Date]],Table3[[Date]:[Sunset Time (POA&lt;20 W/m2)]],4,0),"")</f>
        <v>0.77708333333333335</v>
      </c>
      <c r="K210" s="76">
        <f>IFERROR((Table1[[#This Row],[Sunset Time (POA&lt;20 W/m2)]]-Table1[[#This Row],[Sunrise Time (POA&gt;20 W/m2)]])*24,"")</f>
        <v>12.2</v>
      </c>
      <c r="L210" s="107" t="s">
        <v>215</v>
      </c>
      <c r="M210" s="90">
        <f>VLOOKUP(Table1[[#This Row],[Affceted Equipment]],'Basic Data'!$A$2:$C$818,2,0)</f>
        <v>109.8</v>
      </c>
      <c r="N210" s="92">
        <f>IFERROR(VLOOKUP(Table1[[#This Row],[Affceted Equipment]],'Basic Data'!$A$2:$C$818,3,0),"")</f>
        <v>1.3689236868680572E-2</v>
      </c>
      <c r="O210" s="115" t="s">
        <v>303</v>
      </c>
      <c r="P210" s="93" t="s">
        <v>325</v>
      </c>
      <c r="Q210" s="93"/>
      <c r="R210" s="93" t="s">
        <v>325</v>
      </c>
      <c r="S210" s="91">
        <v>0.42986111111111114</v>
      </c>
      <c r="T210" s="116"/>
      <c r="U210" s="116"/>
      <c r="V210" s="91">
        <v>0.53402777777777777</v>
      </c>
      <c r="W210" s="88">
        <f>IF(Table1[[#This Row],[Acknowledgemnet Time ]]="NA","",(Table1[[#This Row],[Acknowledgemnet Time ]]-Table1[[#This Row],[Fault Time]])*24)</f>
        <v>-10.316666666666666</v>
      </c>
      <c r="X210" s="88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89">
        <f>IFERROR(Table1[[#This Row],[Breakdown Time]]*Table1[[#This Row],[Plant Equivalent Weightage]],"")</f>
        <v>3.4223092171701421E-2</v>
      </c>
      <c r="AD210" s="2">
        <v>0.88</v>
      </c>
      <c r="AE210" s="88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4">
        <f>YEAR(Table1[[#This Row],[Date]])+IF(MONTH(Table1[[#This Row],[Date]])&gt;=4,1,0)</f>
        <v>2026</v>
      </c>
      <c r="C211" s="73">
        <f>YEAR(Table1[[#This Row],[Date]])</f>
        <v>2025</v>
      </c>
      <c r="D211" s="73" t="s">
        <v>1082</v>
      </c>
      <c r="E211" s="73" t="s">
        <v>1082</v>
      </c>
      <c r="F211" s="170">
        <f>Table1[[#This Row],[Date]]-DAY(Table1[[#This Row],[Date]])+1</f>
        <v>45778</v>
      </c>
      <c r="G211">
        <f>DAY(EOMONTH(Table1[[#This Row],[Month Year]],0))</f>
        <v>31</v>
      </c>
      <c r="H211" s="103">
        <v>45792</v>
      </c>
      <c r="I211" s="75">
        <f>IFERROR(VLOOKUP(Table1[[#This Row],[Date]],Table3[[Date]:[Sunset Time (POA&lt;20 W/m2)]],3,0),"")</f>
        <v>0.26874999999999999</v>
      </c>
      <c r="J211" s="75">
        <f>IFERROR(VLOOKUP(Table1[[#This Row],[Date]],Table3[[Date]:[Sunset Time (POA&lt;20 W/m2)]],4,0),"")</f>
        <v>0.77708333333333335</v>
      </c>
      <c r="K211" s="76">
        <f>IFERROR((Table1[[#This Row],[Sunset Time (POA&lt;20 W/m2)]]-Table1[[#This Row],[Sunrise Time (POA&gt;20 W/m2)]])*24,"")</f>
        <v>12.2</v>
      </c>
      <c r="L211" s="107" t="s">
        <v>262</v>
      </c>
      <c r="M211" s="61">
        <f>VLOOKUP(Table1[[#This Row],[Affceted Equipment]],'Basic Data'!$A$2:$C$818,2,0)</f>
        <v>113.34</v>
      </c>
      <c r="N211" s="92">
        <f>IFERROR(VLOOKUP(Table1[[#This Row],[Affceted Equipment]],'Basic Data'!$A$2:$C$818,3,0),"")</f>
        <v>1.4130583849692679E-2</v>
      </c>
      <c r="O211" s="115" t="s">
        <v>1199</v>
      </c>
      <c r="P211" s="93" t="s">
        <v>325</v>
      </c>
      <c r="Q211" s="93"/>
      <c r="R211" s="93" t="s">
        <v>325</v>
      </c>
      <c r="S211" s="91">
        <v>0.44791666666666669</v>
      </c>
      <c r="T211" s="116"/>
      <c r="U211" s="116"/>
      <c r="V211" s="91">
        <v>0.50763888888888886</v>
      </c>
      <c r="W211" s="88">
        <f>IF(Table1[[#This Row],[Acknowledgemnet Time ]]="NA","",(Table1[[#This Row],[Acknowledgemnet Time ]]-Table1[[#This Row],[Fault Time]])*24)</f>
        <v>-10.75</v>
      </c>
      <c r="X211" s="88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89">
        <f>IFERROR(Table1[[#This Row],[Breakdown Time]]*Table1[[#This Row],[Plant Equivalent Weightage]],"")</f>
        <v>2.025383685122616E-2</v>
      </c>
      <c r="AD211" s="2">
        <v>0.39</v>
      </c>
      <c r="AE211" s="88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4">
        <f>YEAR(Table1[[#This Row],[Date]])+IF(MONTH(Table1[[#This Row],[Date]])&gt;=4,1,0)</f>
        <v>2026</v>
      </c>
      <c r="C212" s="73">
        <f>YEAR(Table1[[#This Row],[Date]])</f>
        <v>2025</v>
      </c>
      <c r="D212" s="73" t="s">
        <v>1082</v>
      </c>
      <c r="E212" s="73" t="s">
        <v>1082</v>
      </c>
      <c r="F212" s="170">
        <f>Table1[[#This Row],[Date]]-DAY(Table1[[#This Row],[Date]])+1</f>
        <v>45778</v>
      </c>
      <c r="G212">
        <f>DAY(EOMONTH(Table1[[#This Row],[Month Year]],0))</f>
        <v>31</v>
      </c>
      <c r="H212" s="103">
        <v>45792</v>
      </c>
      <c r="I212" s="75">
        <f>IFERROR(VLOOKUP(Table1[[#This Row],[Date]],Table3[[Date]:[Sunset Time (POA&lt;20 W/m2)]],3,0),"")</f>
        <v>0.26874999999999999</v>
      </c>
      <c r="J212" s="75">
        <f>IFERROR(VLOOKUP(Table1[[#This Row],[Date]],Table3[[Date]:[Sunset Time (POA&lt;20 W/m2)]],4,0),"")</f>
        <v>0.77708333333333335</v>
      </c>
      <c r="K212" s="76">
        <f>IFERROR((Table1[[#This Row],[Sunset Time (POA&lt;20 W/m2)]]-Table1[[#This Row],[Sunrise Time (POA&gt;20 W/m2)]])*24,"")</f>
        <v>12.2</v>
      </c>
      <c r="L212" s="107" t="s">
        <v>270</v>
      </c>
      <c r="M212" s="61">
        <f>VLOOKUP(Table1[[#This Row],[Affceted Equipment]],'Basic Data'!$A$2:$C$818,2,0)</f>
        <v>113.34</v>
      </c>
      <c r="N212" s="92">
        <f>IFERROR(VLOOKUP(Table1[[#This Row],[Affceted Equipment]],'Basic Data'!$A$2:$C$818,3,0),"")</f>
        <v>1.4130583849692679E-2</v>
      </c>
      <c r="O212" s="115" t="s">
        <v>1199</v>
      </c>
      <c r="P212" s="93" t="s">
        <v>325</v>
      </c>
      <c r="Q212" s="93"/>
      <c r="R212" s="93" t="s">
        <v>325</v>
      </c>
      <c r="S212" s="91">
        <v>0.44791666666666669</v>
      </c>
      <c r="T212" s="116"/>
      <c r="U212" s="116"/>
      <c r="V212" s="91">
        <v>0.50763888888888886</v>
      </c>
      <c r="W212" s="88">
        <f>IF(Table1[[#This Row],[Acknowledgemnet Time ]]="NA","",(Table1[[#This Row],[Acknowledgemnet Time ]]-Table1[[#This Row],[Fault Time]])*24)</f>
        <v>-10.75</v>
      </c>
      <c r="X212" s="88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89">
        <f>IFERROR(Table1[[#This Row],[Breakdown Time]]*Table1[[#This Row],[Plant Equivalent Weightage]],"")</f>
        <v>2.025383685122616E-2</v>
      </c>
      <c r="AD212" s="2">
        <v>0.39</v>
      </c>
      <c r="AE212" s="88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4">
        <f>YEAR(Table1[[#This Row],[Date]])+IF(MONTH(Table1[[#This Row],[Date]])&gt;=4,1,0)</f>
        <v>2026</v>
      </c>
      <c r="C213" s="73">
        <f>YEAR(Table1[[#This Row],[Date]])</f>
        <v>2025</v>
      </c>
      <c r="D213" s="73" t="s">
        <v>1082</v>
      </c>
      <c r="E213" s="73" t="s">
        <v>1082</v>
      </c>
      <c r="F213" s="170">
        <f>Table1[[#This Row],[Date]]-DAY(Table1[[#This Row],[Date]])+1</f>
        <v>45778</v>
      </c>
      <c r="G213">
        <f>DAY(EOMONTH(Table1[[#This Row],[Month Year]],0))</f>
        <v>31</v>
      </c>
      <c r="H213" s="103">
        <v>45792</v>
      </c>
      <c r="I213" s="75">
        <f>IFERROR(VLOOKUP(Table1[[#This Row],[Date]],Table3[[Date]:[Sunset Time (POA&lt;20 W/m2)]],3,0),"")</f>
        <v>0.26874999999999999</v>
      </c>
      <c r="J213" s="75">
        <f>IFERROR(VLOOKUP(Table1[[#This Row],[Date]],Table3[[Date]:[Sunset Time (POA&lt;20 W/m2)]],4,0),"")</f>
        <v>0.77708333333333335</v>
      </c>
      <c r="K213" s="76">
        <f>IFERROR((Table1[[#This Row],[Sunset Time (POA&lt;20 W/m2)]]-Table1[[#This Row],[Sunrise Time (POA&gt;20 W/m2)]])*24,"")</f>
        <v>12.2</v>
      </c>
      <c r="L213" s="107" t="s">
        <v>271</v>
      </c>
      <c r="M213" s="61">
        <f>VLOOKUP(Table1[[#This Row],[Affceted Equipment]],'Basic Data'!$A$2:$C$818,2,0)</f>
        <v>113.34</v>
      </c>
      <c r="N213" s="92">
        <f>IFERROR(VLOOKUP(Table1[[#This Row],[Affceted Equipment]],'Basic Data'!$A$2:$C$818,3,0),"")</f>
        <v>1.4130583849692679E-2</v>
      </c>
      <c r="O213" s="115" t="s">
        <v>1199</v>
      </c>
      <c r="P213" s="93" t="s">
        <v>325</v>
      </c>
      <c r="Q213" s="93"/>
      <c r="R213" s="93" t="s">
        <v>325</v>
      </c>
      <c r="S213" s="91">
        <v>0.44791666666666669</v>
      </c>
      <c r="T213" s="116"/>
      <c r="U213" s="116"/>
      <c r="V213" s="91">
        <v>0.50763888888888886</v>
      </c>
      <c r="W213" s="88">
        <f>IF(Table1[[#This Row],[Acknowledgemnet Time ]]="NA","",(Table1[[#This Row],[Acknowledgemnet Time ]]-Table1[[#This Row],[Fault Time]])*24)</f>
        <v>-10.75</v>
      </c>
      <c r="X213" s="88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89">
        <f>IFERROR(Table1[[#This Row],[Breakdown Time]]*Table1[[#This Row],[Plant Equivalent Weightage]],"")</f>
        <v>2.025383685122616E-2</v>
      </c>
      <c r="AD213" s="2">
        <v>0.39</v>
      </c>
      <c r="AE213" s="88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4">
        <f>YEAR(Table1[[#This Row],[Date]])+IF(MONTH(Table1[[#This Row],[Date]])&gt;=4,1,0)</f>
        <v>2026</v>
      </c>
      <c r="C214" s="73">
        <f>YEAR(Table1[[#This Row],[Date]])</f>
        <v>2025</v>
      </c>
      <c r="D214" s="73" t="s">
        <v>1082</v>
      </c>
      <c r="E214" s="73" t="s">
        <v>1082</v>
      </c>
      <c r="F214" s="170">
        <f>Table1[[#This Row],[Date]]-DAY(Table1[[#This Row],[Date]])+1</f>
        <v>45778</v>
      </c>
      <c r="G214">
        <f>DAY(EOMONTH(Table1[[#This Row],[Month Year]],0))</f>
        <v>31</v>
      </c>
      <c r="H214" s="103">
        <v>45792</v>
      </c>
      <c r="I214" s="75">
        <f>IFERROR(VLOOKUP(Table1[[#This Row],[Date]],Table3[[Date]:[Sunset Time (POA&lt;20 W/m2)]],3,0),"")</f>
        <v>0.26874999999999999</v>
      </c>
      <c r="J214" s="75">
        <f>IFERROR(VLOOKUP(Table1[[#This Row],[Date]],Table3[[Date]:[Sunset Time (POA&lt;20 W/m2)]],4,0),"")</f>
        <v>0.77708333333333335</v>
      </c>
      <c r="K214" s="76">
        <f>IFERROR((Table1[[#This Row],[Sunset Time (POA&lt;20 W/m2)]]-Table1[[#This Row],[Sunrise Time (POA&gt;20 W/m2)]])*24,"")</f>
        <v>12.2</v>
      </c>
      <c r="L214" s="107" t="s">
        <v>254</v>
      </c>
      <c r="M214" s="61">
        <f>VLOOKUP(Table1[[#This Row],[Affceted Equipment]],'Basic Data'!$A$2:$C$818,2,0)</f>
        <v>109.8</v>
      </c>
      <c r="N214" s="92">
        <f>IFERROR(VLOOKUP(Table1[[#This Row],[Affceted Equipment]],'Basic Data'!$A$2:$C$818,3,0),"")</f>
        <v>1.3689236868680572E-2</v>
      </c>
      <c r="O214" s="115" t="s">
        <v>1199</v>
      </c>
      <c r="P214" s="93" t="s">
        <v>325</v>
      </c>
      <c r="Q214" s="93"/>
      <c r="R214" s="93" t="s">
        <v>325</v>
      </c>
      <c r="S214" s="91">
        <v>0.44791666666666669</v>
      </c>
      <c r="T214" s="116"/>
      <c r="U214" s="116"/>
      <c r="V214" s="91">
        <v>0.50763888888888886</v>
      </c>
      <c r="W214" s="88">
        <f>IF(Table1[[#This Row],[Acknowledgemnet Time ]]="NA","",(Table1[[#This Row],[Acknowledgemnet Time ]]-Table1[[#This Row],[Fault Time]])*24)</f>
        <v>-10.75</v>
      </c>
      <c r="X214" s="88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89">
        <f>IFERROR(Table1[[#This Row],[Breakdown Time]]*Table1[[#This Row],[Plant Equivalent Weightage]],"")</f>
        <v>1.9621239511775471E-2</v>
      </c>
      <c r="AD214" s="2">
        <v>0.39</v>
      </c>
      <c r="AE214" s="88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4">
        <f>YEAR(Table1[[#This Row],[Date]])+IF(MONTH(Table1[[#This Row],[Date]])&gt;=4,1,0)</f>
        <v>2026</v>
      </c>
      <c r="C215" s="73">
        <f>YEAR(Table1[[#This Row],[Date]])</f>
        <v>2025</v>
      </c>
      <c r="D215" s="73" t="s">
        <v>1082</v>
      </c>
      <c r="E215" s="73" t="s">
        <v>1082</v>
      </c>
      <c r="F215" s="170">
        <f>Table1[[#This Row],[Date]]-DAY(Table1[[#This Row],[Date]])+1</f>
        <v>45778</v>
      </c>
      <c r="G215">
        <f>DAY(EOMONTH(Table1[[#This Row],[Month Year]],0))</f>
        <v>31</v>
      </c>
      <c r="H215" s="103">
        <v>45793</v>
      </c>
      <c r="I215" s="75">
        <f>IFERROR(VLOOKUP(Table1[[#This Row],[Date]],Table3[[Date]:[Sunset Time (POA&lt;20 W/m2)]],3,0),"")</f>
        <v>0.24374999999999999</v>
      </c>
      <c r="J215" s="75">
        <f>IFERROR(VLOOKUP(Table1[[#This Row],[Date]],Table3[[Date]:[Sunset Time (POA&lt;20 W/m2)]],4,0),"")</f>
        <v>0.77916666666666667</v>
      </c>
      <c r="K215" s="76">
        <f>IFERROR((Table1[[#This Row],[Sunset Time (POA&lt;20 W/m2)]]-Table1[[#This Row],[Sunrise Time (POA&gt;20 W/m2)]])*24,"")</f>
        <v>12.85</v>
      </c>
      <c r="L215" s="162" t="s">
        <v>180</v>
      </c>
      <c r="M215" s="61">
        <f>VLOOKUP(Table1[[#This Row],[Affceted Equipment]],'Basic Data'!$A$2:$C$818,2,0)</f>
        <v>2694.6</v>
      </c>
      <c r="N215" s="92">
        <f>IFERROR(VLOOKUP(Table1[[#This Row],[Affceted Equipment]],'Basic Data'!$A$2:$C$818,3,0),"")</f>
        <v>0.33594733758057077</v>
      </c>
      <c r="O215" s="115" t="s">
        <v>323</v>
      </c>
      <c r="P215" s="93" t="s">
        <v>1201</v>
      </c>
      <c r="Q215" s="93"/>
      <c r="R215" s="93" t="s">
        <v>1201</v>
      </c>
      <c r="S215" s="91">
        <v>0.41666666666666669</v>
      </c>
      <c r="T215" s="116"/>
      <c r="U215" s="116"/>
      <c r="V215" s="91">
        <v>0.52361111111111114</v>
      </c>
      <c r="W215" s="88">
        <f>IF(Table1[[#This Row],[Acknowledgemnet Time ]]="NA","",(Table1[[#This Row],[Acknowledgemnet Time ]]-Table1[[#This Row],[Fault Time]])*24)</f>
        <v>-10</v>
      </c>
      <c r="X215" s="88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89">
        <f>IFERROR(Table1[[#This Row],[Breakdown Time]]*Table1[[#This Row],[Plant Equivalent Weightage]],"")</f>
        <v>0.86226483312346502</v>
      </c>
      <c r="AD215" s="2">
        <v>1.63</v>
      </c>
      <c r="AE215" s="88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4">
        <f>YEAR(Table1[[#This Row],[Date]])+IF(MONTH(Table1[[#This Row],[Date]])&gt;=4,1,0)</f>
        <v>2026</v>
      </c>
      <c r="C216" s="73">
        <f>YEAR(Table1[[#This Row],[Date]])</f>
        <v>2025</v>
      </c>
      <c r="D216" s="73" t="s">
        <v>1082</v>
      </c>
      <c r="E216" s="73" t="s">
        <v>1082</v>
      </c>
      <c r="F216" s="178">
        <f>Table1[[#This Row],[Date]]-DAY(Table1[[#This Row],[Date]])+1</f>
        <v>45778</v>
      </c>
      <c r="G216">
        <f>DAY(EOMONTH(Table1[[#This Row],[Month Year]],0))</f>
        <v>31</v>
      </c>
      <c r="H216" s="103">
        <v>45797</v>
      </c>
      <c r="I216" s="75">
        <f>IFERROR(VLOOKUP(Table1[[#This Row],[Date]],Table3[[Date]:[Sunset Time (POA&lt;20 W/m2)]],3,0),"")</f>
        <v>0.24791666666666667</v>
      </c>
      <c r="J216" s="75">
        <f>IFERROR(VLOOKUP(Table1[[#This Row],[Date]],Table3[[Date]:[Sunset Time (POA&lt;20 W/m2)]],4,0),"")</f>
        <v>0.77777777777777779</v>
      </c>
      <c r="K216" s="76">
        <f>IFERROR((Table1[[#This Row],[Sunset Time (POA&lt;20 W/m2)]]-Table1[[#This Row],[Sunrise Time (POA&gt;20 W/m2)]])*24,"")</f>
        <v>12.716666666666667</v>
      </c>
      <c r="L216" s="107" t="s">
        <v>182</v>
      </c>
      <c r="M216" s="90">
        <f>VLOOKUP(Table1[[#This Row],[Affceted Equipment]],'Basic Data'!$A$2:$C$818,2,0)</f>
        <v>2695.5</v>
      </c>
      <c r="N216" s="92">
        <f>IFERROR(VLOOKUP(Table1[[#This Row],[Affceted Equipment]],'Basic Data'!$A$2:$C$818,3,0),"")</f>
        <v>0.33605954444015013</v>
      </c>
      <c r="O216" s="115" t="s">
        <v>1199</v>
      </c>
      <c r="P216" s="93" t="s">
        <v>325</v>
      </c>
      <c r="Q216" s="93"/>
      <c r="R216" s="93" t="s">
        <v>325</v>
      </c>
      <c r="S216" s="91">
        <v>0.56319444444444444</v>
      </c>
      <c r="T216" s="116"/>
      <c r="U216" s="116"/>
      <c r="V216" s="91">
        <v>0.57708333333333328</v>
      </c>
      <c r="W216" s="88">
        <f>IF(Table1[[#This Row],[Acknowledgemnet Time ]]="NA","",(Table1[[#This Row],[Acknowledgemnet Time ]]-Table1[[#This Row],[Fault Time]])*24)</f>
        <v>-13.516666666666666</v>
      </c>
      <c r="X216" s="88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89">
        <f>IFERROR(Table1[[#This Row],[Breakdown Time]]*Table1[[#This Row],[Plant Equivalent Weightage]],"")</f>
        <v>0.11201984814671631</v>
      </c>
      <c r="AD216" s="2">
        <v>0.32</v>
      </c>
      <c r="AE216" s="88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4">
        <f>YEAR(Table1[[#This Row],[Date]])+IF(MONTH(Table1[[#This Row],[Date]])&gt;=4,1,0)</f>
        <v>2026</v>
      </c>
      <c r="C217" s="73">
        <f>YEAR(Table1[[#This Row],[Date]])</f>
        <v>2025</v>
      </c>
      <c r="D217" s="73" t="s">
        <v>1082</v>
      </c>
      <c r="E217" s="73" t="s">
        <v>1082</v>
      </c>
      <c r="F217" s="170">
        <f>Table1[[#This Row],[Date]]-DAY(Table1[[#This Row],[Date]])+1</f>
        <v>45778</v>
      </c>
      <c r="G217">
        <f>DAY(EOMONTH(Table1[[#This Row],[Month Year]],0))</f>
        <v>31</v>
      </c>
      <c r="H217" s="103">
        <v>45799</v>
      </c>
      <c r="I217" s="75">
        <f>IFERROR(VLOOKUP(Table1[[#This Row],[Date]],Table3[[Date]:[Sunset Time (POA&lt;20 W/m2)]],3,0),"")</f>
        <v>0.24374999999999999</v>
      </c>
      <c r="J217" s="75">
        <f>IFERROR(VLOOKUP(Table1[[#This Row],[Date]],Table3[[Date]:[Sunset Time (POA&lt;20 W/m2)]],4,0),"")</f>
        <v>0.76597222222222228</v>
      </c>
      <c r="K217" s="76">
        <f>IFERROR((Table1[[#This Row],[Sunset Time (POA&lt;20 W/m2)]]-Table1[[#This Row],[Sunrise Time (POA&gt;20 W/m2)]])*24,"")</f>
        <v>12.533333333333335</v>
      </c>
      <c r="L217" s="107" t="s">
        <v>258</v>
      </c>
      <c r="M217" s="61">
        <f>VLOOKUP(Table1[[#This Row],[Affceted Equipment]],'Basic Data'!$A$2:$C$818,2,0)</f>
        <v>113.34</v>
      </c>
      <c r="N217" s="92">
        <f>IFERROR(VLOOKUP(Table1[[#This Row],[Affceted Equipment]],'Basic Data'!$A$2:$C$818,3,0),"")</f>
        <v>1.4130583849692679E-2</v>
      </c>
      <c r="O217" s="115" t="s">
        <v>1199</v>
      </c>
      <c r="P217" s="93" t="s">
        <v>325</v>
      </c>
      <c r="Q217" s="93"/>
      <c r="R217" s="93" t="s">
        <v>325</v>
      </c>
      <c r="S217" s="91">
        <v>0.25624999999999998</v>
      </c>
      <c r="T217" s="116"/>
      <c r="U217" s="116"/>
      <c r="V217" s="91">
        <v>0.34166666666666667</v>
      </c>
      <c r="W217" s="88">
        <f>IF(Table1[[#This Row],[Acknowledgemnet Time ]]="NA","",(Table1[[#This Row],[Acknowledgemnet Time ]]-Table1[[#This Row],[Fault Time]])*24)</f>
        <v>-6.1499999999999995</v>
      </c>
      <c r="X217" s="88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89">
        <f>IFERROR(Table1[[#This Row],[Breakdown Time]]*Table1[[#This Row],[Plant Equivalent Weightage]],"")</f>
        <v>2.8967696891870003E-2</v>
      </c>
      <c r="AD217" s="2">
        <v>0.14000000000000001</v>
      </c>
      <c r="AE217" s="88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4">
        <f>YEAR(Table1[[#This Row],[Date]])+IF(MONTH(Table1[[#This Row],[Date]])&gt;=4,1,0)</f>
        <v>2026</v>
      </c>
      <c r="C218" s="73">
        <f>YEAR(Table1[[#This Row],[Date]])</f>
        <v>2025</v>
      </c>
      <c r="D218" s="73" t="s">
        <v>1082</v>
      </c>
      <c r="E218" s="73" t="s">
        <v>1082</v>
      </c>
      <c r="F218" s="178">
        <f>Table1[[#This Row],[Date]]-DAY(Table1[[#This Row],[Date]])+1</f>
        <v>45778</v>
      </c>
      <c r="G218">
        <f>DAY(EOMONTH(Table1[[#This Row],[Month Year]],0))</f>
        <v>31</v>
      </c>
      <c r="H218" s="103">
        <v>45799</v>
      </c>
      <c r="I218" s="75">
        <f>IFERROR(VLOOKUP(Table1[[#This Row],[Date]],Table3[[Date]:[Sunset Time (POA&lt;20 W/m2)]],3,0),"")</f>
        <v>0.24374999999999999</v>
      </c>
      <c r="J218" s="75">
        <f>IFERROR(VLOOKUP(Table1[[#This Row],[Date]],Table3[[Date]:[Sunset Time (POA&lt;20 W/m2)]],4,0),"")</f>
        <v>0.76597222222222228</v>
      </c>
      <c r="K218" s="76">
        <f>IFERROR((Table1[[#This Row],[Sunset Time (POA&lt;20 W/m2)]]-Table1[[#This Row],[Sunrise Time (POA&gt;20 W/m2)]])*24,"")</f>
        <v>12.533333333333335</v>
      </c>
      <c r="L218" s="107" t="s">
        <v>258</v>
      </c>
      <c r="M218" s="90">
        <f>VLOOKUP(Table1[[#This Row],[Affceted Equipment]],'Basic Data'!$A$2:$C$818,2,0)</f>
        <v>113.34</v>
      </c>
      <c r="N218" s="92">
        <f>IFERROR(VLOOKUP(Table1[[#This Row],[Affceted Equipment]],'Basic Data'!$A$2:$C$818,3,0),"")</f>
        <v>1.4130583849692679E-2</v>
      </c>
      <c r="O218" s="115" t="s">
        <v>1199</v>
      </c>
      <c r="P218" s="93" t="s">
        <v>325</v>
      </c>
      <c r="Q218" s="93"/>
      <c r="R218" s="93" t="s">
        <v>325</v>
      </c>
      <c r="S218" s="91">
        <v>0.39166666666666666</v>
      </c>
      <c r="T218" s="116"/>
      <c r="U218" s="116"/>
      <c r="V218" s="91">
        <v>0.44097222222222221</v>
      </c>
      <c r="W218" s="88">
        <f>IF(Table1[[#This Row],[Acknowledgemnet Time ]]="NA","",(Table1[[#This Row],[Acknowledgemnet Time ]]-Table1[[#This Row],[Fault Time]])*24)</f>
        <v>-9.4</v>
      </c>
      <c r="X218" s="88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89">
        <f>IFERROR(Table1[[#This Row],[Breakdown Time]]*Table1[[#This Row],[Plant Equivalent Weightage]],"")</f>
        <v>1.6721190888803E-2</v>
      </c>
      <c r="AD218" s="2">
        <v>0.77</v>
      </c>
      <c r="AE218" s="88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4">
        <f>YEAR(Table1[[#This Row],[Date]])+IF(MONTH(Table1[[#This Row],[Date]])&gt;=4,1,0)</f>
        <v>2026</v>
      </c>
      <c r="C219" s="73">
        <f>YEAR(Table1[[#This Row],[Date]])</f>
        <v>2025</v>
      </c>
      <c r="D219" s="73" t="s">
        <v>1082</v>
      </c>
      <c r="E219" s="73" t="s">
        <v>1082</v>
      </c>
      <c r="F219" s="170">
        <f>Table1[[#This Row],[Date]]-DAY(Table1[[#This Row],[Date]])+1</f>
        <v>45778</v>
      </c>
      <c r="G219">
        <f>DAY(EOMONTH(Table1[[#This Row],[Month Year]],0))</f>
        <v>31</v>
      </c>
      <c r="H219" s="103">
        <v>45802</v>
      </c>
      <c r="I219" s="75">
        <f>IFERROR(VLOOKUP(Table1[[#This Row],[Date]],Table3[[Date]:[Sunset Time (POA&lt;20 W/m2)]],3,0),"")</f>
        <v>0.24374999999999999</v>
      </c>
      <c r="J219" s="75">
        <f>IFERROR(VLOOKUP(Table1[[#This Row],[Date]],Table3[[Date]:[Sunset Time (POA&lt;20 W/m2)]],4,0),"")</f>
        <v>0.77986111111111112</v>
      </c>
      <c r="K219" s="76">
        <f>IFERROR((Table1[[#This Row],[Sunset Time (POA&lt;20 W/m2)]]-Table1[[#This Row],[Sunrise Time (POA&gt;20 W/m2)]])*24,"")</f>
        <v>12.866666666666667</v>
      </c>
      <c r="L219" s="107" t="s">
        <v>182</v>
      </c>
      <c r="M219" s="61">
        <f>VLOOKUP(Table1[[#This Row],[Affceted Equipment]],'Basic Data'!$A$2:$C$818,2,0)</f>
        <v>2695.5</v>
      </c>
      <c r="N219" s="92">
        <f>IFERROR(VLOOKUP(Table1[[#This Row],[Affceted Equipment]],'Basic Data'!$A$2:$C$818,3,0),"")</f>
        <v>0.33605954444015013</v>
      </c>
      <c r="O219" s="115" t="s">
        <v>1199</v>
      </c>
      <c r="P219" s="93" t="s">
        <v>325</v>
      </c>
      <c r="Q219" s="93"/>
      <c r="R219" s="93" t="s">
        <v>325</v>
      </c>
      <c r="S219" s="91">
        <v>0.6381944444444444</v>
      </c>
      <c r="T219" s="116"/>
      <c r="U219" s="116"/>
      <c r="V219" s="91">
        <v>0.64861111111111114</v>
      </c>
      <c r="W219" s="88">
        <f>IF(Table1[[#This Row],[Acknowledgemnet Time ]]="NA","",(Table1[[#This Row],[Acknowledgemnet Time ]]-Table1[[#This Row],[Fault Time]])*24)</f>
        <v>-15.316666666666666</v>
      </c>
      <c r="X219" s="88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89">
        <f>IFERROR(Table1[[#This Row],[Breakdown Time]]*Table1[[#This Row],[Plant Equivalent Weightage]],"")</f>
        <v>8.4014886110038128E-2</v>
      </c>
      <c r="AD219" s="2">
        <v>7.0000000000000007E-2</v>
      </c>
      <c r="AE219" s="88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4">
        <f>YEAR(Table1[[#This Row],[Date]])+IF(MONTH(Table1[[#This Row],[Date]])&gt;=4,1,0)</f>
        <v>2026</v>
      </c>
      <c r="C220" s="73">
        <f>YEAR(Table1[[#This Row],[Date]])</f>
        <v>2025</v>
      </c>
      <c r="D220" s="73" t="s">
        <v>1082</v>
      </c>
      <c r="E220" s="73" t="s">
        <v>1082</v>
      </c>
      <c r="F220" s="170">
        <f>Table1[[#This Row],[Date]]-DAY(Table1[[#This Row],[Date]])+1</f>
        <v>45839</v>
      </c>
      <c r="G220">
        <f>DAY(EOMONTH(Table1[[#This Row],[Month Year]],0))</f>
        <v>31</v>
      </c>
      <c r="H220" s="103">
        <v>45857</v>
      </c>
      <c r="I220" s="75">
        <f>IFERROR(VLOOKUP(Table1[[#This Row],[Date]],Table3[[Date]:[Sunset Time (POA&lt;20 W/m2)]],3,0),"")</f>
        <v>0.26458333333333334</v>
      </c>
      <c r="J220" s="75">
        <f>IFERROR(VLOOKUP(Table1[[#This Row],[Date]],Table3[[Date]:[Sunset Time (POA&lt;20 W/m2)]],4,0),"")</f>
        <v>0.77152777777777781</v>
      </c>
      <c r="K220" s="76">
        <f>IFERROR((Table1[[#This Row],[Sunset Time (POA&lt;20 W/m2)]]-Table1[[#This Row],[Sunrise Time (POA&gt;20 W/m2)]])*24,"")</f>
        <v>12.166666666666666</v>
      </c>
      <c r="L220" s="107" t="s">
        <v>180</v>
      </c>
      <c r="M220" s="61">
        <f>VLOOKUP(Table1[[#This Row],[Affceted Equipment]],'Basic Data'!$A$2:$C$818,2,0)</f>
        <v>2694.6</v>
      </c>
      <c r="N220" s="92">
        <f>IFERROR(VLOOKUP(Table1[[#This Row],[Affceted Equipment]],'Basic Data'!$A$2:$C$818,3,0),"")</f>
        <v>0.33594733758057077</v>
      </c>
      <c r="O220" s="115" t="s">
        <v>323</v>
      </c>
      <c r="P220" s="93" t="s">
        <v>325</v>
      </c>
      <c r="Q220" s="93"/>
      <c r="R220" s="93" t="s">
        <v>325</v>
      </c>
      <c r="S220" s="91">
        <v>0.26458333333333334</v>
      </c>
      <c r="T220" s="116"/>
      <c r="U220" s="116"/>
      <c r="V220" s="91">
        <v>0.3263888888888889</v>
      </c>
      <c r="W220" s="88">
        <f>IF(Table1[[#This Row],[Acknowledgemnet Time ]]="NA","",(Table1[[#This Row],[Acknowledgemnet Time ]]-Table1[[#This Row],[Fault Time]])*24)</f>
        <v>-6.35</v>
      </c>
      <c r="X220" s="88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89">
        <f>IFERROR(Table1[[#This Row],[Breakdown Time]]*Table1[[#This Row],[Plant Equivalent Weightage]],"")</f>
        <v>0.49832188407784667</v>
      </c>
      <c r="AD220" s="2">
        <v>0.21</v>
      </c>
      <c r="AE220" s="88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3"/>
  <sheetViews>
    <sheetView topLeftCell="A2" zoomScale="85" zoomScaleNormal="85" workbookViewId="0">
      <pane xSplit="8" ySplit="1" topLeftCell="Y47" activePane="bottomRight" state="frozen"/>
      <selection activeCell="A2" sqref="A2"/>
      <selection pane="topRight" activeCell="I2" sqref="I2"/>
      <selection pane="bottomLeft" activeCell="A3" sqref="A3"/>
      <selection pane="bottomRight" activeCell="AC61" sqref="AC61:AC63"/>
    </sheetView>
  </sheetViews>
  <sheetFormatPr defaultRowHeight="14.4" x14ac:dyDescent="0.3"/>
  <cols>
    <col min="2" max="2" width="13.44140625" customWidth="1"/>
    <col min="3" max="3" width="13.77734375" style="2" customWidth="1"/>
    <col min="4" max="4" width="14.44140625" customWidth="1"/>
    <col min="5" max="5" width="13.5546875" customWidth="1"/>
    <col min="6" max="6" width="11.21875" customWidth="1"/>
    <col min="7" max="7" width="9.77734375" style="2" customWidth="1"/>
    <col min="8" max="8" width="11.44140625" customWidth="1"/>
    <col min="9" max="9" width="16.44140625" customWidth="1"/>
    <col min="10" max="10" width="12.77734375" customWidth="1"/>
    <col min="11" max="11" width="13.77734375" style="2" customWidth="1"/>
    <col min="12" max="12" width="11.5546875" customWidth="1"/>
    <col min="13" max="13" width="14.77734375" style="2" customWidth="1"/>
    <col min="14" max="14" width="13.77734375" customWidth="1"/>
    <col min="15" max="15" width="11.21875" customWidth="1"/>
    <col min="16" max="16" width="10.21875" customWidth="1"/>
    <col min="17" max="17" width="8.77734375" customWidth="1"/>
    <col min="18" max="18" width="39.44140625" customWidth="1"/>
    <col min="19" max="19" width="8.21875" customWidth="1"/>
    <col min="20" max="20" width="9" customWidth="1"/>
    <col min="21" max="21" width="9.21875" customWidth="1"/>
    <col min="22" max="22" width="13.21875" customWidth="1"/>
    <col min="23" max="23" width="14.21875" customWidth="1"/>
    <col min="24" max="24" width="12.5546875" customWidth="1"/>
    <col min="25" max="25" width="17.21875" customWidth="1"/>
    <col min="26" max="26" width="17.77734375" customWidth="1"/>
    <col min="27" max="27" width="9.21875" customWidth="1"/>
    <col min="28" max="28" width="22.44140625" customWidth="1"/>
    <col min="29" max="29" width="11.44140625" customWidth="1"/>
    <col min="30" max="30" width="16.218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8">
        <f>YEAR(Table19[[#This Row],[Date]])</f>
        <v>2025</v>
      </c>
      <c r="D3" s="98" t="s">
        <v>1082</v>
      </c>
      <c r="E3" s="98" t="s">
        <v>1082</v>
      </c>
      <c r="F3" s="113" t="str">
        <f>TEXT(Table19[[#This Row],[Date]],"mmm-yy")</f>
        <v>Apr-25</v>
      </c>
      <c r="G3" s="2">
        <f>DAY(EOMONTH(Table19[[#This Row],[Month Year]],0))</f>
        <v>30</v>
      </c>
      <c r="H3" s="99">
        <v>45749</v>
      </c>
      <c r="I3" s="58">
        <f>IFERROR(VLOOKUP(Table19[[#This Row],[Date]],Table3[[#All],[Date]:[Sunset Time (POA&lt;20 W/m2)]],3,0),"")</f>
        <v>0.26319444444444445</v>
      </c>
      <c r="J3" s="106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0" t="s">
        <v>304</v>
      </c>
      <c r="M3" s="7">
        <f>VLOOKUP(Table19[[#This Row],[Affceted Equipment]],'Basic Data'!$A$2:$B$108,2,0)</f>
        <v>8020.9</v>
      </c>
      <c r="N3" s="98" t="s">
        <v>305</v>
      </c>
      <c r="O3" s="98" t="s">
        <v>20</v>
      </c>
      <c r="P3" s="114">
        <f>IFERROR(VLOOKUP(Table19[[#This Row],[Affceted Equipment]],'Basic Data'!$A$2:$C$118,3,0),"")</f>
        <v>1</v>
      </c>
      <c r="Q3" s="100"/>
      <c r="R3" s="56" t="s">
        <v>306</v>
      </c>
      <c r="S3" s="101">
        <v>0.42152777777777778</v>
      </c>
      <c r="T3" s="101"/>
      <c r="U3" s="101"/>
      <c r="V3" s="101">
        <v>0.42708333333333331</v>
      </c>
      <c r="W3" s="72"/>
      <c r="X3" s="52"/>
      <c r="Y3" s="52">
        <f>(Table19[[#This Row],[Work Completiuon time on fualt]]-Table19[[#This Row],[Fault Time]])*24</f>
        <v>0.13333333333333286</v>
      </c>
      <c r="Z3" s="102" t="s">
        <v>4</v>
      </c>
      <c r="AA3" s="100" t="s">
        <v>81</v>
      </c>
      <c r="AB3" s="52">
        <f>IFERROR(Table19[[#This Row],[Plant Equivalent Weightage]]*Table19[[#This Row],[Resolution Time]],"")</f>
        <v>0.13333333333333286</v>
      </c>
      <c r="AC3" s="86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8">
        <f>YEAR(Table19[[#This Row],[Date]])</f>
        <v>2025</v>
      </c>
      <c r="D4" s="98" t="s">
        <v>1082</v>
      </c>
      <c r="E4" s="98" t="s">
        <v>1082</v>
      </c>
      <c r="F4" s="113" t="str">
        <f>TEXT(Table19[[#This Row],[Date]],"mmm-yy")</f>
        <v>Apr-25</v>
      </c>
      <c r="G4" s="2">
        <f>DAY(EOMONTH(Table19[[#This Row],[Month Year]],0))</f>
        <v>30</v>
      </c>
      <c r="H4" s="99">
        <v>45750</v>
      </c>
      <c r="I4" s="58">
        <f>IFERROR(VLOOKUP(Table19[[#This Row],[Date]],Table3[[#All],[Date]:[Sunset Time (POA&lt;20 W/m2)]],3,0),"")</f>
        <v>0.26319444444444445</v>
      </c>
      <c r="J4" s="106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0" t="s">
        <v>304</v>
      </c>
      <c r="M4" s="7">
        <f>VLOOKUP(Table19[[#This Row],[Affceted Equipment]],'Basic Data'!$A$2:$B$108,2,0)</f>
        <v>8020.9</v>
      </c>
      <c r="N4" s="98" t="s">
        <v>305</v>
      </c>
      <c r="O4" s="98" t="s">
        <v>20</v>
      </c>
      <c r="P4" s="114">
        <f>IFERROR(VLOOKUP(Table19[[#This Row],[Affceted Equipment]],'Basic Data'!$A$2:$C$118,3,0),"")</f>
        <v>1</v>
      </c>
      <c r="Q4" s="100"/>
      <c r="R4" s="56" t="s">
        <v>1184</v>
      </c>
      <c r="S4" s="101">
        <v>0.57152777777777775</v>
      </c>
      <c r="T4" s="101"/>
      <c r="U4" s="101"/>
      <c r="V4" s="101">
        <v>0.69652777777777775</v>
      </c>
      <c r="W4" s="72"/>
      <c r="X4" s="52"/>
      <c r="Y4" s="52">
        <f>(Table19[[#This Row],[Work Completiuon time on fualt]]-Table19[[#This Row],[Fault Time]])*24</f>
        <v>3</v>
      </c>
      <c r="Z4" s="102" t="s">
        <v>4</v>
      </c>
      <c r="AA4" s="100" t="s">
        <v>81</v>
      </c>
      <c r="AB4" s="52">
        <f>IFERROR(Table19[[#This Row],[Plant Equivalent Weightage]]*Table19[[#This Row],[Resolution Time]],"")</f>
        <v>3</v>
      </c>
      <c r="AC4" s="86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8">
        <f>YEAR(Table19[[#This Row],[Date]])</f>
        <v>2025</v>
      </c>
      <c r="D5" s="98" t="s">
        <v>1082</v>
      </c>
      <c r="E5" s="98" t="s">
        <v>1082</v>
      </c>
      <c r="F5" s="113" t="str">
        <f>TEXT(Table19[[#This Row],[Date]],"mmm-yy")</f>
        <v>Apr-25</v>
      </c>
      <c r="G5" s="2">
        <f>DAY(EOMONTH(Table19[[#This Row],[Month Year]],0))</f>
        <v>30</v>
      </c>
      <c r="H5" s="99">
        <v>45757</v>
      </c>
      <c r="I5" s="58">
        <f>IFERROR(VLOOKUP(Table19[[#This Row],[Date]],Table3[[#All],[Date]:[Sunset Time (POA&lt;20 W/m2)]],3,0),"")</f>
        <v>0.25833333333333336</v>
      </c>
      <c r="J5" s="106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0" t="s">
        <v>304</v>
      </c>
      <c r="M5" s="7">
        <f>VLOOKUP(Table19[[#This Row],[Affceted Equipment]],'Basic Data'!$A$2:$B$108,2,0)</f>
        <v>8020.9</v>
      </c>
      <c r="N5" s="98" t="s">
        <v>305</v>
      </c>
      <c r="O5" s="98" t="s">
        <v>20</v>
      </c>
      <c r="P5" s="114">
        <f>IFERROR(VLOOKUP(Table19[[#This Row],[Affceted Equipment]],'Basic Data'!$A$2:$C$118,3,0),"")</f>
        <v>1</v>
      </c>
      <c r="Q5" s="100"/>
      <c r="R5" s="56" t="s">
        <v>1184</v>
      </c>
      <c r="S5" s="101">
        <v>0.62777777777777777</v>
      </c>
      <c r="T5" s="101"/>
      <c r="U5" s="101"/>
      <c r="V5" s="101">
        <v>0.77083333333333337</v>
      </c>
      <c r="W5" s="72"/>
      <c r="X5" s="52"/>
      <c r="Y5" s="52">
        <f>(Table19[[#This Row],[Work Completiuon time on fualt]]-Table19[[#This Row],[Fault Time]])*24</f>
        <v>3.4333333333333345</v>
      </c>
      <c r="Z5" s="102" t="s">
        <v>4</v>
      </c>
      <c r="AA5" s="100" t="s">
        <v>81</v>
      </c>
      <c r="AB5" s="52">
        <f>IFERROR(Table19[[#This Row],[Plant Equivalent Weightage]]*Table19[[#This Row],[Resolution Time]],"")</f>
        <v>3.4333333333333345</v>
      </c>
      <c r="AC5" s="86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8">
        <f>YEAR(Table19[[#This Row],[Date]])</f>
        <v>2025</v>
      </c>
      <c r="D6" s="98" t="s">
        <v>1082</v>
      </c>
      <c r="E6" s="98" t="s">
        <v>1082</v>
      </c>
      <c r="F6" s="113" t="str">
        <f>TEXT(Table19[[#This Row],[Date]],"mmm-yy")</f>
        <v>Apr-25</v>
      </c>
      <c r="G6" s="2">
        <f>DAY(EOMONTH(Table19[[#This Row],[Month Year]],0))</f>
        <v>30</v>
      </c>
      <c r="H6" s="99">
        <v>45760</v>
      </c>
      <c r="I6" s="58">
        <f>IFERROR(VLOOKUP(Table19[[#This Row],[Date]],Table3[[#All],[Date]:[Sunset Time (POA&lt;20 W/m2)]],3,0),"")</f>
        <v>0.25138888888888888</v>
      </c>
      <c r="J6" s="106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0" t="s">
        <v>304</v>
      </c>
      <c r="M6" s="7">
        <f>VLOOKUP(Table19[[#This Row],[Affceted Equipment]],'Basic Data'!$A$2:$B$108,2,0)</f>
        <v>8020.9</v>
      </c>
      <c r="N6" s="98" t="s">
        <v>305</v>
      </c>
      <c r="O6" s="98" t="s">
        <v>20</v>
      </c>
      <c r="P6" s="114">
        <f>IFERROR(VLOOKUP(Table19[[#This Row],[Affceted Equipment]],'Basic Data'!$A$2:$C$118,3,0),"")</f>
        <v>1</v>
      </c>
      <c r="Q6" s="100"/>
      <c r="R6" s="56" t="s">
        <v>306</v>
      </c>
      <c r="S6" s="101">
        <v>0.55486111111111114</v>
      </c>
      <c r="T6" s="101"/>
      <c r="U6" s="101"/>
      <c r="V6" s="101">
        <v>0.56458333333333333</v>
      </c>
      <c r="W6" s="72"/>
      <c r="X6" s="52"/>
      <c r="Y6" s="52">
        <f>(Table19[[#This Row],[Work Completiuon time on fualt]]-Table19[[#This Row],[Fault Time]])*24</f>
        <v>0.2333333333333325</v>
      </c>
      <c r="Z6" s="102" t="s">
        <v>4</v>
      </c>
      <c r="AA6" s="100" t="s">
        <v>81</v>
      </c>
      <c r="AB6" s="52">
        <f>IFERROR(Table19[[#This Row],[Plant Equivalent Weightage]]*Table19[[#This Row],[Resolution Time]],"")</f>
        <v>0.2333333333333325</v>
      </c>
      <c r="AC6" s="86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8">
        <f>YEAR(Table19[[#This Row],[Date]])</f>
        <v>2025</v>
      </c>
      <c r="D7" s="98" t="s">
        <v>1082</v>
      </c>
      <c r="E7" s="98" t="s">
        <v>1082</v>
      </c>
      <c r="F7" s="113" t="str">
        <f>TEXT(Table19[[#This Row],[Date]],"mmm-yy")</f>
        <v>Apr-25</v>
      </c>
      <c r="G7" s="2">
        <f>DAY(EOMONTH(Table19[[#This Row],[Month Year]],0))</f>
        <v>30</v>
      </c>
      <c r="H7" s="99">
        <v>45762</v>
      </c>
      <c r="I7" s="58">
        <f>IFERROR(VLOOKUP(Table19[[#This Row],[Date]],Table3[[#All],[Date]:[Sunset Time (POA&lt;20 W/m2)]],3,0),"")</f>
        <v>0.25069444444444444</v>
      </c>
      <c r="J7" s="106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0" t="s">
        <v>304</v>
      </c>
      <c r="M7" s="7">
        <f>VLOOKUP(Table19[[#This Row],[Affceted Equipment]],'Basic Data'!$A$2:$B$108,2,0)</f>
        <v>8020.9</v>
      </c>
      <c r="N7" s="98" t="s">
        <v>305</v>
      </c>
      <c r="O7" s="98" t="s">
        <v>20</v>
      </c>
      <c r="P7" s="114">
        <f>IFERROR(VLOOKUP(Table19[[#This Row],[Affceted Equipment]],'Basic Data'!$A$2:$C$118,3,0),"")</f>
        <v>1</v>
      </c>
      <c r="Q7" s="100"/>
      <c r="R7" s="56" t="s">
        <v>306</v>
      </c>
      <c r="S7" s="101">
        <v>0.32569444444444445</v>
      </c>
      <c r="T7" s="101"/>
      <c r="U7" s="101"/>
      <c r="V7" s="101">
        <v>0.33194444444444443</v>
      </c>
      <c r="W7" s="72"/>
      <c r="X7" s="52"/>
      <c r="Y7" s="52">
        <f>(Table19[[#This Row],[Work Completiuon time on fualt]]-Table19[[#This Row],[Fault Time]])*24</f>
        <v>0.14999999999999947</v>
      </c>
      <c r="Z7" s="102" t="s">
        <v>4</v>
      </c>
      <c r="AA7" s="100" t="s">
        <v>81</v>
      </c>
      <c r="AB7" s="52">
        <f>IFERROR(Table19[[#This Row],[Plant Equivalent Weightage]]*Table19[[#This Row],[Resolution Time]],"")</f>
        <v>0.14999999999999947</v>
      </c>
      <c r="AC7" s="86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8">
        <f>YEAR(Table19[[#This Row],[Date]])</f>
        <v>2025</v>
      </c>
      <c r="D8" s="98" t="s">
        <v>1082</v>
      </c>
      <c r="E8" s="98" t="s">
        <v>1082</v>
      </c>
      <c r="F8" s="113" t="str">
        <f>TEXT(Table19[[#This Row],[Date]],"mmm-yy")</f>
        <v>Apr-25</v>
      </c>
      <c r="G8" s="2">
        <f>DAY(EOMONTH(Table19[[#This Row],[Month Year]],0))</f>
        <v>30</v>
      </c>
      <c r="H8" s="99">
        <v>45763</v>
      </c>
      <c r="I8" s="58">
        <f>IFERROR(VLOOKUP(Table19[[#This Row],[Date]],Table3[[#All],[Date]:[Sunset Time (POA&lt;20 W/m2)]],3,0),"")</f>
        <v>0.25</v>
      </c>
      <c r="J8" s="106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0" t="s">
        <v>304</v>
      </c>
      <c r="M8" s="7">
        <f>VLOOKUP(Table19[[#This Row],[Affceted Equipment]],'Basic Data'!$A$2:$B$108,2,0)</f>
        <v>8020.9</v>
      </c>
      <c r="N8" s="98" t="s">
        <v>305</v>
      </c>
      <c r="O8" s="98" t="s">
        <v>20</v>
      </c>
      <c r="P8" s="114">
        <f>IFERROR(VLOOKUP(Table19[[#This Row],[Affceted Equipment]],'Basic Data'!$A$2:$C$118,3,0),"")</f>
        <v>1</v>
      </c>
      <c r="Q8" s="100"/>
      <c r="R8" s="67" t="s">
        <v>1192</v>
      </c>
      <c r="S8" s="101">
        <v>0.59791666666666665</v>
      </c>
      <c r="T8" s="101"/>
      <c r="U8" s="101"/>
      <c r="V8" s="101">
        <v>0.6118055555555556</v>
      </c>
      <c r="W8" s="72"/>
      <c r="X8" s="52"/>
      <c r="Y8" s="52">
        <f>(Table19[[#This Row],[Work Completiuon time on fualt]]-Table19[[#This Row],[Fault Time]])*24</f>
        <v>0.33333333333333481</v>
      </c>
      <c r="Z8" s="102" t="s">
        <v>4</v>
      </c>
      <c r="AA8" s="100" t="s">
        <v>81</v>
      </c>
      <c r="AB8" s="52">
        <f>IFERROR(Table19[[#This Row],[Plant Equivalent Weightage]]*Table19[[#This Row],[Resolution Time]],"")</f>
        <v>0.33333333333333481</v>
      </c>
      <c r="AC8" s="86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8">
        <f>YEAR(Table19[[#This Row],[Date]])</f>
        <v>2025</v>
      </c>
      <c r="D9" s="98" t="s">
        <v>1082</v>
      </c>
      <c r="E9" s="98" t="s">
        <v>1082</v>
      </c>
      <c r="F9" s="113" t="str">
        <f>TEXT(Table19[[#This Row],[Date]],"mmm-yy")</f>
        <v>Apr-25</v>
      </c>
      <c r="G9" s="2">
        <f>DAY(EOMONTH(Table19[[#This Row],[Month Year]],0))</f>
        <v>30</v>
      </c>
      <c r="H9" s="99">
        <v>45763</v>
      </c>
      <c r="I9" s="104">
        <f>IFERROR(VLOOKUP(Table19[[#This Row],[Date]],Table3[[#All],[Date]:[Sunset Time (POA&lt;20 W/m2)]],3,0),"")</f>
        <v>0.25</v>
      </c>
      <c r="J9" s="106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0" t="s">
        <v>304</v>
      </c>
      <c r="M9" s="7">
        <f>VLOOKUP(Table19[[#This Row],[Affceted Equipment]],'Basic Data'!$A$2:$B$108,2,0)</f>
        <v>8020.9</v>
      </c>
      <c r="N9" s="98" t="s">
        <v>305</v>
      </c>
      <c r="O9" s="98" t="s">
        <v>20</v>
      </c>
      <c r="P9" s="114">
        <f>IFERROR(VLOOKUP(Table19[[#This Row],[Affceted Equipment]],'Basic Data'!$A$2:$C$118,3,0),"")</f>
        <v>1</v>
      </c>
      <c r="Q9" s="100"/>
      <c r="R9" s="67" t="s">
        <v>1192</v>
      </c>
      <c r="S9" s="101">
        <v>0.69791666666666663</v>
      </c>
      <c r="T9" s="101"/>
      <c r="U9" s="101"/>
      <c r="V9" s="101">
        <v>0.75694444444444442</v>
      </c>
      <c r="W9" s="72"/>
      <c r="X9" s="52"/>
      <c r="Y9" s="52">
        <f>(Table19[[#This Row],[Work Completiuon time on fualt]]-Table19[[#This Row],[Fault Time]])*24</f>
        <v>1.416666666666667</v>
      </c>
      <c r="Z9" s="102" t="s">
        <v>4</v>
      </c>
      <c r="AA9" s="100" t="s">
        <v>81</v>
      </c>
      <c r="AB9" s="52">
        <f>IFERROR(Table19[[#This Row],[Plant Equivalent Weightage]]*Table19[[#This Row],[Resolution Time]],"")</f>
        <v>1.416666666666667</v>
      </c>
      <c r="AC9" s="86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8">
        <f>YEAR(Table19[[#This Row],[Date]])</f>
        <v>2025</v>
      </c>
      <c r="D10" s="98" t="s">
        <v>1082</v>
      </c>
      <c r="E10" s="98" t="s">
        <v>1082</v>
      </c>
      <c r="F10" s="113" t="str">
        <f>TEXT(Table19[[#This Row],[Date]],"mmm-yy")</f>
        <v>Apr-25</v>
      </c>
      <c r="G10" s="2">
        <f>DAY(EOMONTH(Table19[[#This Row],[Month Year]],0))</f>
        <v>30</v>
      </c>
      <c r="H10" s="99">
        <v>45766</v>
      </c>
      <c r="I10" s="58">
        <f>IFERROR(VLOOKUP(Table19[[#This Row],[Date]],Table3[[#All],[Date]:[Sunset Time (POA&lt;20 W/m2)]],3,0),"")</f>
        <v>0.25624999999999998</v>
      </c>
      <c r="J10" s="106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0" t="s">
        <v>304</v>
      </c>
      <c r="M10" s="7">
        <f>VLOOKUP(Table19[[#This Row],[Affceted Equipment]],'Basic Data'!$A$2:$B$108,2,0)</f>
        <v>8020.9</v>
      </c>
      <c r="N10" s="98" t="s">
        <v>305</v>
      </c>
      <c r="O10" s="98" t="s">
        <v>20</v>
      </c>
      <c r="P10" s="114">
        <f>IFERROR(VLOOKUP(Table19[[#This Row],[Affceted Equipment]],'Basic Data'!$A$2:$C$118,3,0),"")</f>
        <v>1</v>
      </c>
      <c r="Q10" s="100"/>
      <c r="R10" s="67" t="s">
        <v>1196</v>
      </c>
      <c r="S10" s="101">
        <v>0.68194444444444446</v>
      </c>
      <c r="T10" s="101"/>
      <c r="U10" s="101"/>
      <c r="V10" s="101">
        <v>0.74097222222222225</v>
      </c>
      <c r="W10" s="72"/>
      <c r="X10" s="52"/>
      <c r="Y10" s="52">
        <f>(Table19[[#This Row],[Work Completiuon time on fualt]]-Table19[[#This Row],[Fault Time]])*24</f>
        <v>1.416666666666667</v>
      </c>
      <c r="Z10" s="102" t="s">
        <v>4</v>
      </c>
      <c r="AA10" s="100" t="s">
        <v>81</v>
      </c>
      <c r="AB10" s="52">
        <f>IFERROR(Table19[[#This Row],[Plant Equivalent Weightage]]*Table19[[#This Row],[Resolution Time]],"")</f>
        <v>1.416666666666667</v>
      </c>
      <c r="AC10" s="86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8">
        <f>YEAR(Table19[[#This Row],[Date]])</f>
        <v>2025</v>
      </c>
      <c r="D11" s="98" t="s">
        <v>1082</v>
      </c>
      <c r="E11" s="98" t="s">
        <v>1082</v>
      </c>
      <c r="F11" s="113" t="str">
        <f>TEXT(Table19[[#This Row],[Date]],"mmm-yy")</f>
        <v>Apr-25</v>
      </c>
      <c r="G11" s="2">
        <f>DAY(EOMONTH(Table19[[#This Row],[Month Year]],0))</f>
        <v>30</v>
      </c>
      <c r="H11" s="99">
        <v>45766</v>
      </c>
      <c r="I11" s="104">
        <f>IFERROR(VLOOKUP(Table19[[#This Row],[Date]],Table3[[#All],[Date]:[Sunset Time (POA&lt;20 W/m2)]],3,0),"")</f>
        <v>0.25624999999999998</v>
      </c>
      <c r="J11" s="106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0" t="s">
        <v>304</v>
      </c>
      <c r="M11" s="7">
        <f>VLOOKUP(Table19[[#This Row],[Affceted Equipment]],'Basic Data'!$A$2:$B$108,2,0)</f>
        <v>8020.9</v>
      </c>
      <c r="N11" s="98" t="s">
        <v>305</v>
      </c>
      <c r="O11" s="98" t="s">
        <v>20</v>
      </c>
      <c r="P11" s="114">
        <f>IFERROR(VLOOKUP(Table19[[#This Row],[Affceted Equipment]],'Basic Data'!$A$2:$C$118,3,0),"")</f>
        <v>1</v>
      </c>
      <c r="Q11" s="100"/>
      <c r="R11" s="56" t="s">
        <v>306</v>
      </c>
      <c r="S11" s="101">
        <v>0.75624999999999998</v>
      </c>
      <c r="T11" s="101"/>
      <c r="U11" s="101"/>
      <c r="V11" s="101">
        <v>0.77500000000000002</v>
      </c>
      <c r="W11" s="72"/>
      <c r="X11" s="52"/>
      <c r="Y11" s="52">
        <f>(Table19[[#This Row],[Work Completiuon time on fualt]]-Table19[[#This Row],[Fault Time]])*24</f>
        <v>0.45000000000000107</v>
      </c>
      <c r="Z11" s="102" t="s">
        <v>4</v>
      </c>
      <c r="AA11" s="100" t="s">
        <v>81</v>
      </c>
      <c r="AB11" s="52">
        <f>IFERROR(Table19[[#This Row],[Plant Equivalent Weightage]]*Table19[[#This Row],[Resolution Time]],"")</f>
        <v>0.45000000000000107</v>
      </c>
      <c r="AC11" s="86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8">
        <f>YEAR(Table19[[#This Row],[Date]])</f>
        <v>2025</v>
      </c>
      <c r="D12" s="98" t="s">
        <v>1082</v>
      </c>
      <c r="E12" s="98" t="s">
        <v>1082</v>
      </c>
      <c r="F12" s="113" t="str">
        <f>TEXT(Table19[[#This Row],[Date]],"mmm-yy")</f>
        <v>Apr-25</v>
      </c>
      <c r="G12" s="2">
        <f>DAY(EOMONTH(Table19[[#This Row],[Month Year]],0))</f>
        <v>30</v>
      </c>
      <c r="H12" s="99">
        <v>45768</v>
      </c>
      <c r="I12" s="58">
        <f>IFERROR(VLOOKUP(Table19[[#This Row],[Date]],Table3[[#All],[Date]:[Sunset Time (POA&lt;20 W/m2)]],3,0),"")</f>
        <v>0.25069444444444444</v>
      </c>
      <c r="J12" s="106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0" t="s">
        <v>304</v>
      </c>
      <c r="M12" s="7">
        <f>VLOOKUP(Table19[[#This Row],[Affceted Equipment]],'Basic Data'!$A$2:$B$108,2,0)</f>
        <v>8020.9</v>
      </c>
      <c r="N12" s="98" t="s">
        <v>305</v>
      </c>
      <c r="O12" s="98" t="s">
        <v>20</v>
      </c>
      <c r="P12" s="114">
        <f>IFERROR(VLOOKUP(Table19[[#This Row],[Affceted Equipment]],'Basic Data'!$A$2:$C$118,3,0),"")</f>
        <v>1</v>
      </c>
      <c r="Q12" s="100"/>
      <c r="R12" s="67" t="s">
        <v>1196</v>
      </c>
      <c r="S12" s="101">
        <v>0.4777777777777778</v>
      </c>
      <c r="T12" s="101"/>
      <c r="U12" s="101"/>
      <c r="V12" s="101">
        <v>0.51944444444444449</v>
      </c>
      <c r="W12" s="72"/>
      <c r="X12" s="52"/>
      <c r="Y12" s="52">
        <f>(Table19[[#This Row],[Work Completiuon time on fualt]]-Table19[[#This Row],[Fault Time]])*24</f>
        <v>1.0000000000000004</v>
      </c>
      <c r="Z12" s="102" t="s">
        <v>4</v>
      </c>
      <c r="AA12" s="100" t="s">
        <v>81</v>
      </c>
      <c r="AB12" s="52">
        <f>IFERROR(Table19[[#This Row],[Plant Equivalent Weightage]]*Table19[[#This Row],[Resolution Time]],"")</f>
        <v>1.0000000000000004</v>
      </c>
      <c r="AC12" s="86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8">
        <f>YEAR(Table19[[#This Row],[Date]])</f>
        <v>2025</v>
      </c>
      <c r="D13" s="98" t="s">
        <v>1082</v>
      </c>
      <c r="E13" s="98" t="s">
        <v>1082</v>
      </c>
      <c r="F13" s="113" t="str">
        <f>TEXT(Table19[[#This Row],[Date]],"mmm-yy")</f>
        <v>Apr-25</v>
      </c>
      <c r="G13" s="2">
        <f>DAY(EOMONTH(Table19[[#This Row],[Month Year]],0))</f>
        <v>30</v>
      </c>
      <c r="H13" s="99">
        <v>45771</v>
      </c>
      <c r="I13" s="58">
        <f>IFERROR(VLOOKUP(Table19[[#This Row],[Date]],Table3[[#All],[Date]:[Sunset Time (POA&lt;20 W/m2)]],3,0),"")</f>
        <v>0.25277777777777777</v>
      </c>
      <c r="J13" s="106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0" t="s">
        <v>304</v>
      </c>
      <c r="M13" s="7">
        <f>VLOOKUP(Table19[[#This Row],[Affceted Equipment]],'Basic Data'!$A$2:$B$108,2,0)</f>
        <v>8020.9</v>
      </c>
      <c r="N13" s="98" t="s">
        <v>305</v>
      </c>
      <c r="O13" s="98" t="s">
        <v>20</v>
      </c>
      <c r="P13" s="114">
        <f>IFERROR(VLOOKUP(Table19[[#This Row],[Affceted Equipment]],'Basic Data'!$A$2:$C$118,3,0),"")</f>
        <v>1</v>
      </c>
      <c r="Q13" s="100"/>
      <c r="R13" s="67" t="s">
        <v>1192</v>
      </c>
      <c r="S13" s="101">
        <v>0.69166666666666665</v>
      </c>
      <c r="T13" s="101"/>
      <c r="U13" s="101"/>
      <c r="V13" s="101">
        <v>0.80902777777777779</v>
      </c>
      <c r="W13" s="72"/>
      <c r="X13" s="52"/>
      <c r="Y13" s="52">
        <f>(Table19[[#This Row],[Work Completiuon time on fualt]]-Table19[[#This Row],[Fault Time]])*24</f>
        <v>2.8166666666666673</v>
      </c>
      <c r="Z13" s="102" t="s">
        <v>4</v>
      </c>
      <c r="AA13" s="100" t="s">
        <v>81</v>
      </c>
      <c r="AB13" s="52">
        <f>IFERROR(Table19[[#This Row],[Plant Equivalent Weightage]]*Table19[[#This Row],[Resolution Time]],"")</f>
        <v>2.8166666666666673</v>
      </c>
      <c r="AC13" s="86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8">
        <f>YEAR(Table19[[#This Row],[Date]])</f>
        <v>2025</v>
      </c>
      <c r="D14" s="98" t="s">
        <v>1082</v>
      </c>
      <c r="E14" s="98" t="s">
        <v>1082</v>
      </c>
      <c r="F14" s="113" t="str">
        <f>TEXT(Table19[[#This Row],[Date]],"mmm-yy")</f>
        <v>Apr-25</v>
      </c>
      <c r="G14" s="2">
        <f>DAY(EOMONTH(Table19[[#This Row],[Month Year]],0))</f>
        <v>30</v>
      </c>
      <c r="H14" s="99">
        <v>45772</v>
      </c>
      <c r="I14" s="104">
        <f>IFERROR(VLOOKUP(Table19[[#This Row],[Date]],Table3[[#All],[Date]:[Sunset Time (POA&lt;20 W/m2)]],3,0),"")</f>
        <v>0.25347222222222221</v>
      </c>
      <c r="J14" s="106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0" t="s">
        <v>304</v>
      </c>
      <c r="M14" s="7">
        <f>VLOOKUP(Table19[[#This Row],[Affceted Equipment]],'Basic Data'!$A$2:$B$108,2,0)</f>
        <v>8020.9</v>
      </c>
      <c r="N14" s="98" t="s">
        <v>305</v>
      </c>
      <c r="O14" s="98" t="s">
        <v>20</v>
      </c>
      <c r="P14" s="114">
        <f>IFERROR(VLOOKUP(Table19[[#This Row],[Affceted Equipment]],'Basic Data'!$A$2:$C$118,3,0),"")</f>
        <v>1</v>
      </c>
      <c r="Q14" s="100"/>
      <c r="R14" s="67" t="s">
        <v>1192</v>
      </c>
      <c r="S14" s="101">
        <v>0.67083333333333328</v>
      </c>
      <c r="T14" s="101"/>
      <c r="U14" s="101"/>
      <c r="V14" s="101">
        <v>0.75694444444444442</v>
      </c>
      <c r="W14" s="72"/>
      <c r="X14" s="52"/>
      <c r="Y14" s="52">
        <f>(Table19[[#This Row],[Work Completiuon time on fualt]]-Table19[[#This Row],[Fault Time]])*24</f>
        <v>2.0666666666666673</v>
      </c>
      <c r="Z14" s="102" t="s">
        <v>4</v>
      </c>
      <c r="AA14" s="100" t="s">
        <v>81</v>
      </c>
      <c r="AB14" s="52">
        <f>IFERROR(Table19[[#This Row],[Plant Equivalent Weightage]]*Table19[[#This Row],[Resolution Time]],"")</f>
        <v>2.0666666666666673</v>
      </c>
      <c r="AC14" s="86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8">
        <f>YEAR(Table19[[#This Row],[Date]])</f>
        <v>2025</v>
      </c>
      <c r="D15" s="98" t="s">
        <v>1082</v>
      </c>
      <c r="E15" s="98" t="s">
        <v>1082</v>
      </c>
      <c r="F15" s="113" t="str">
        <f>TEXT(Table19[[#This Row],[Date]],"mmm-yy")</f>
        <v>Apr-25</v>
      </c>
      <c r="G15" s="2">
        <f>DAY(EOMONTH(Table19[[#This Row],[Month Year]],0))</f>
        <v>30</v>
      </c>
      <c r="H15" s="99">
        <v>45773</v>
      </c>
      <c r="I15" s="58">
        <f>IFERROR(VLOOKUP(Table19[[#This Row],[Date]],Table3[[#All],[Date]:[Sunset Time (POA&lt;20 W/m2)]],3,0),"")</f>
        <v>0.25</v>
      </c>
      <c r="J15" s="106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0" t="s">
        <v>304</v>
      </c>
      <c r="M15" s="7">
        <f>VLOOKUP(Table19[[#This Row],[Affceted Equipment]],'Basic Data'!$A$2:$B$108,2,0)</f>
        <v>8020.9</v>
      </c>
      <c r="N15" s="98" t="s">
        <v>305</v>
      </c>
      <c r="O15" s="98" t="s">
        <v>20</v>
      </c>
      <c r="P15" s="114">
        <f>IFERROR(VLOOKUP(Table19[[#This Row],[Affceted Equipment]],'Basic Data'!$A$2:$C$118,3,0),"")</f>
        <v>1</v>
      </c>
      <c r="Q15" s="100"/>
      <c r="R15" s="56" t="s">
        <v>306</v>
      </c>
      <c r="S15" s="101">
        <v>0.65763888888888888</v>
      </c>
      <c r="T15" s="101"/>
      <c r="U15" s="101"/>
      <c r="V15" s="101">
        <v>0.67152777777777772</v>
      </c>
      <c r="W15" s="72"/>
      <c r="X15" s="52"/>
      <c r="Y15" s="52">
        <f>(Table19[[#This Row],[Work Completiuon time on fualt]]-Table19[[#This Row],[Fault Time]])*24</f>
        <v>0.33333333333333215</v>
      </c>
      <c r="Z15" s="102" t="s">
        <v>4</v>
      </c>
      <c r="AA15" s="100" t="s">
        <v>81</v>
      </c>
      <c r="AB15" s="52">
        <f>IFERROR(Table19[[#This Row],[Plant Equivalent Weightage]]*Table19[[#This Row],[Resolution Time]],"")</f>
        <v>0.33333333333333215</v>
      </c>
      <c r="AC15" s="86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8">
        <f>YEAR(Table19[[#This Row],[Date]])</f>
        <v>2025</v>
      </c>
      <c r="D16" s="98" t="s">
        <v>1082</v>
      </c>
      <c r="E16" s="98" t="s">
        <v>1082</v>
      </c>
      <c r="F16" s="113" t="str">
        <f>TEXT(Table19[[#This Row],[Date]],"mmm-yy")</f>
        <v>May-25</v>
      </c>
      <c r="G16" s="2">
        <f>DAY(EOMONTH(Table19[[#This Row],[Month Year]],0))</f>
        <v>31</v>
      </c>
      <c r="H16" s="99">
        <v>45778</v>
      </c>
      <c r="I16" s="58">
        <f>IFERROR(VLOOKUP(Table19[[#This Row],[Date]],Table3[[#All],[Date]:[Sunset Time (POA&lt;20 W/m2)]],3,0),"")</f>
        <v>0.25069444444444444</v>
      </c>
      <c r="J16" s="106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0" t="s">
        <v>304</v>
      </c>
      <c r="M16" s="7">
        <f>VLOOKUP(Table19[[#This Row],[Affceted Equipment]],'Basic Data'!$A$2:$B$108,2,0)</f>
        <v>8020.9</v>
      </c>
      <c r="N16" s="98" t="s">
        <v>305</v>
      </c>
      <c r="O16" s="98" t="s">
        <v>20</v>
      </c>
      <c r="P16" s="114">
        <f>IFERROR(VLOOKUP(Table19[[#This Row],[Affceted Equipment]],'Basic Data'!$A$2:$C$118,3,0),"")</f>
        <v>1</v>
      </c>
      <c r="Q16" s="100"/>
      <c r="R16" s="56" t="s">
        <v>306</v>
      </c>
      <c r="S16" s="101">
        <v>0.43888888888888888</v>
      </c>
      <c r="T16" s="101"/>
      <c r="U16" s="101"/>
      <c r="V16" s="101">
        <v>0.45</v>
      </c>
      <c r="W16" s="72"/>
      <c r="X16" s="52"/>
      <c r="Y16" s="52">
        <f>(Table19[[#This Row],[Work Completiuon time on fualt]]-Table19[[#This Row],[Fault Time]])*24</f>
        <v>0.26666666666666705</v>
      </c>
      <c r="Z16" s="102" t="s">
        <v>4</v>
      </c>
      <c r="AA16" s="100" t="s">
        <v>81</v>
      </c>
      <c r="AB16" s="52">
        <f>IFERROR(Table19[[#This Row],[Plant Equivalent Weightage]]*Table19[[#This Row],[Resolution Time]],"")</f>
        <v>0.26666666666666705</v>
      </c>
      <c r="AC16" s="86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8">
        <f>YEAR(Table19[[#This Row],[Date]])</f>
        <v>2025</v>
      </c>
      <c r="D17" s="98" t="s">
        <v>1082</v>
      </c>
      <c r="E17" s="98" t="s">
        <v>1082</v>
      </c>
      <c r="F17" s="113" t="str">
        <f>TEXT(Table19[[#This Row],[Date]],"mmm-yy")</f>
        <v>May-25</v>
      </c>
      <c r="G17" s="2">
        <f>DAY(EOMONTH(Table19[[#This Row],[Month Year]],0))</f>
        <v>31</v>
      </c>
      <c r="H17" s="99">
        <v>45779</v>
      </c>
      <c r="I17" s="58">
        <f>IFERROR(VLOOKUP(Table19[[#This Row],[Date]],Table3[[#All],[Date]:[Sunset Time (POA&lt;20 W/m2)]],3,0),"")</f>
        <v>0.25069444444444444</v>
      </c>
      <c r="J17" s="106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0" t="s">
        <v>304</v>
      </c>
      <c r="M17" s="7">
        <f>VLOOKUP(Table19[[#This Row],[Affceted Equipment]],'Basic Data'!$A$2:$B$108,2,0)</f>
        <v>8020.9</v>
      </c>
      <c r="N17" s="98" t="s">
        <v>305</v>
      </c>
      <c r="O17" s="98" t="s">
        <v>20</v>
      </c>
      <c r="P17" s="114">
        <f>IFERROR(VLOOKUP(Table19[[#This Row],[Affceted Equipment]],'Basic Data'!$A$2:$C$118,3,0),"")</f>
        <v>1</v>
      </c>
      <c r="Q17" s="100"/>
      <c r="R17" s="67" t="s">
        <v>1197</v>
      </c>
      <c r="S17" s="101">
        <v>0.3888888888888889</v>
      </c>
      <c r="T17" s="101"/>
      <c r="U17" s="101"/>
      <c r="V17" s="101">
        <v>0.41666666666666669</v>
      </c>
      <c r="W17" s="72"/>
      <c r="X17" s="52"/>
      <c r="Y17" s="52">
        <f>(Table19[[#This Row],[Work Completiuon time on fualt]]-Table19[[#This Row],[Fault Time]])*24</f>
        <v>0.66666666666666696</v>
      </c>
      <c r="Z17" s="102" t="s">
        <v>4</v>
      </c>
      <c r="AA17" s="100" t="s">
        <v>81</v>
      </c>
      <c r="AB17" s="52">
        <f>IFERROR(Table19[[#This Row],[Plant Equivalent Weightage]]*Table19[[#This Row],[Resolution Time]],"")</f>
        <v>0.66666666666666696</v>
      </c>
      <c r="AC17" s="86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8">
        <f>YEAR(Table19[[#This Row],[Date]])</f>
        <v>2025</v>
      </c>
      <c r="D18" s="98" t="s">
        <v>1082</v>
      </c>
      <c r="E18" s="98" t="s">
        <v>1082</v>
      </c>
      <c r="F18" s="113" t="str">
        <f>TEXT(Table19[[#This Row],[Date]],"mmm-yy")</f>
        <v>May-25</v>
      </c>
      <c r="G18" s="2">
        <f>DAY(EOMONTH(Table19[[#This Row],[Month Year]],0))</f>
        <v>31</v>
      </c>
      <c r="H18" s="99">
        <v>45781</v>
      </c>
      <c r="I18" s="58">
        <f>IFERROR(VLOOKUP(Table19[[#This Row],[Date]],Table3[[#All],[Date]:[Sunset Time (POA&lt;20 W/m2)]],3,0),"")</f>
        <v>0.24930555555555556</v>
      </c>
      <c r="J18" s="106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0" t="s">
        <v>304</v>
      </c>
      <c r="M18" s="7">
        <f>VLOOKUP(Table19[[#This Row],[Affceted Equipment]],'Basic Data'!$A$2:$B$108,2,0)</f>
        <v>8020.9</v>
      </c>
      <c r="N18" s="98" t="s">
        <v>305</v>
      </c>
      <c r="O18" s="98" t="s">
        <v>20</v>
      </c>
      <c r="P18" s="114">
        <f>IFERROR(VLOOKUP(Table19[[#This Row],[Affceted Equipment]],'Basic Data'!$A$2:$C$118,3,0),"")</f>
        <v>1</v>
      </c>
      <c r="Q18" s="100"/>
      <c r="R18" s="67" t="s">
        <v>1198</v>
      </c>
      <c r="S18" s="101">
        <v>0.51527777777777772</v>
      </c>
      <c r="T18" s="101"/>
      <c r="U18" s="101"/>
      <c r="V18" s="101">
        <v>0.76944444444444449</v>
      </c>
      <c r="W18" s="72"/>
      <c r="X18" s="52"/>
      <c r="Y18" s="52">
        <f>(Table19[[#This Row],[Work Completiuon time on fualt]]-Table19[[#This Row],[Fault Time]])*24</f>
        <v>6.1000000000000023</v>
      </c>
      <c r="Z18" s="102" t="s">
        <v>4</v>
      </c>
      <c r="AA18" s="100" t="s">
        <v>81</v>
      </c>
      <c r="AB18" s="52">
        <f>IFERROR(Table19[[#This Row],[Plant Equivalent Weightage]]*Table19[[#This Row],[Resolution Time]],"")</f>
        <v>6.1000000000000023</v>
      </c>
      <c r="AC18" s="86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0">
        <f>YEAR(Table19[[#This Row],[Date]])</f>
        <v>2025</v>
      </c>
      <c r="D19" s="98" t="s">
        <v>1082</v>
      </c>
      <c r="E19" s="98" t="s">
        <v>1082</v>
      </c>
      <c r="F19" s="113" t="str">
        <f>TEXT(Table19[[#This Row],[Date]],"mmm-yy")</f>
        <v>May-25</v>
      </c>
      <c r="G19" s="2">
        <f>DAY(EOMONTH(Table19[[#This Row],[Month Year]],0))</f>
        <v>31</v>
      </c>
      <c r="H19" s="99">
        <v>45785</v>
      </c>
      <c r="I19" s="58">
        <f>IFERROR(VLOOKUP(Table19[[#This Row],[Date]],Table3[[#All],[Date]:[Sunset Time (POA&lt;20 W/m2)]],3,0),"")</f>
        <v>0.25138888888888888</v>
      </c>
      <c r="J19" s="106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0" t="s">
        <v>304</v>
      </c>
      <c r="M19" s="7">
        <f>VLOOKUP(Table19[[#This Row],[Affceted Equipment]],'Basic Data'!$A$2:$B$108,2,0)</f>
        <v>8020.9</v>
      </c>
      <c r="N19" s="98" t="s">
        <v>305</v>
      </c>
      <c r="O19" s="98" t="s">
        <v>20</v>
      </c>
      <c r="P19" s="114">
        <f>IFERROR(VLOOKUP(Table19[[#This Row],[Affceted Equipment]],'Basic Data'!$A$2:$C$118,3,0),"")</f>
        <v>1</v>
      </c>
      <c r="Q19" s="100"/>
      <c r="R19" s="56" t="s">
        <v>306</v>
      </c>
      <c r="S19" s="101">
        <v>0.43055555555555558</v>
      </c>
      <c r="T19" s="101"/>
      <c r="U19" s="101"/>
      <c r="V19" s="101">
        <v>0.43611111111111112</v>
      </c>
      <c r="W19" s="72"/>
      <c r="X19" s="52"/>
      <c r="Y19" s="52">
        <f>(Table19[[#This Row],[Work Completiuon time on fualt]]-Table19[[#This Row],[Fault Time]])*24</f>
        <v>0.13333333333333286</v>
      </c>
      <c r="Z19" s="102" t="s">
        <v>4</v>
      </c>
      <c r="AA19" s="100" t="s">
        <v>81</v>
      </c>
      <c r="AB19" s="52">
        <f>IFERROR(Table19[[#This Row],[Plant Equivalent Weightage]]*Table19[[#This Row],[Resolution Time]],"")</f>
        <v>0.13333333333333286</v>
      </c>
      <c r="AC19" s="86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0">
        <f>YEAR(Table19[[#This Row],[Date]])+IF(MONTH(Table19[[#This Row],[Date]])&gt;=4,1,0)</f>
        <v>2026</v>
      </c>
      <c r="C20" s="100">
        <f>YEAR(Table19[[#This Row],[Date]])</f>
        <v>2025</v>
      </c>
      <c r="D20" s="98" t="s">
        <v>1082</v>
      </c>
      <c r="E20" s="98" t="s">
        <v>1082</v>
      </c>
      <c r="F20" s="113" t="str">
        <f>TEXT(Table19[[#This Row],[Date]],"mmm-yy")</f>
        <v>May-25</v>
      </c>
      <c r="G20" s="2">
        <f>DAY(EOMONTH(Table19[[#This Row],[Month Year]],0))</f>
        <v>31</v>
      </c>
      <c r="H20" s="99">
        <v>45785</v>
      </c>
      <c r="I20" s="104">
        <f>IFERROR(VLOOKUP(Table19[[#This Row],[Date]],Table3[[#All],[Date]:[Sunset Time (POA&lt;20 W/m2)]],3,0),"")</f>
        <v>0.25138888888888888</v>
      </c>
      <c r="J20" s="106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0" t="s">
        <v>304</v>
      </c>
      <c r="M20" s="7">
        <f>VLOOKUP(Table19[[#This Row],[Affceted Equipment]],'Basic Data'!$A$2:$B$108,2,0)</f>
        <v>8020.9</v>
      </c>
      <c r="N20" s="98" t="s">
        <v>305</v>
      </c>
      <c r="O20" s="98" t="s">
        <v>20</v>
      </c>
      <c r="P20" s="114">
        <f>IFERROR(VLOOKUP(Table19[[#This Row],[Affceted Equipment]],'Basic Data'!$A$2:$C$118,3,0),"")</f>
        <v>1</v>
      </c>
      <c r="Q20" s="100"/>
      <c r="R20" s="56" t="s">
        <v>306</v>
      </c>
      <c r="S20" s="101">
        <v>0.74513888888888891</v>
      </c>
      <c r="T20" s="101"/>
      <c r="U20" s="101"/>
      <c r="V20" s="101">
        <v>0.74930555555555556</v>
      </c>
      <c r="W20" s="72"/>
      <c r="X20" s="52"/>
      <c r="Y20" s="52">
        <f>(Table19[[#This Row],[Work Completiuon time on fualt]]-Table19[[#This Row],[Fault Time]])*24</f>
        <v>9.9999999999999645E-2</v>
      </c>
      <c r="Z20" s="102" t="s">
        <v>4</v>
      </c>
      <c r="AA20" s="100" t="s">
        <v>81</v>
      </c>
      <c r="AB20" s="52">
        <f>IFERROR(Table19[[#This Row],[Plant Equivalent Weightage]]*Table19[[#This Row],[Resolution Time]],"")</f>
        <v>9.9999999999999645E-2</v>
      </c>
      <c r="AC20" s="86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0">
        <f>YEAR(Table19[[#This Row],[Date]])+IF(MONTH(Table19[[#This Row],[Date]])&gt;=4,1,0)</f>
        <v>2026</v>
      </c>
      <c r="C21" s="100">
        <f>YEAR(Table19[[#This Row],[Date]])</f>
        <v>2025</v>
      </c>
      <c r="D21" s="98" t="s">
        <v>1082</v>
      </c>
      <c r="E21" s="98" t="s">
        <v>1082</v>
      </c>
      <c r="F21" s="113" t="str">
        <f>TEXT(Table19[[#This Row],[Date]],"mmm-yy")</f>
        <v>May-25</v>
      </c>
      <c r="G21" s="2">
        <f>DAY(EOMONTH(Table19[[#This Row],[Month Year]],0))</f>
        <v>31</v>
      </c>
      <c r="H21" s="99">
        <v>45791</v>
      </c>
      <c r="I21" s="58">
        <f>IFERROR(VLOOKUP(Table19[[#This Row],[Date]],Table3[[#All],[Date]:[Sunset Time (POA&lt;20 W/m2)]],3,0),"")</f>
        <v>0.24513888888888888</v>
      </c>
      <c r="J21" s="106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0" t="s">
        <v>304</v>
      </c>
      <c r="M21" s="7">
        <f>VLOOKUP(Table19[[#This Row],[Affceted Equipment]],'Basic Data'!$A$2:$B$108,2,0)</f>
        <v>8020.9</v>
      </c>
      <c r="N21" s="98" t="s">
        <v>305</v>
      </c>
      <c r="O21" s="98" t="s">
        <v>20</v>
      </c>
      <c r="P21" s="114">
        <f>IFERROR(VLOOKUP(Table19[[#This Row],[Affceted Equipment]],'Basic Data'!$A$2:$C$118,3,0),"")</f>
        <v>1</v>
      </c>
      <c r="Q21" s="100"/>
      <c r="R21" s="56" t="s">
        <v>306</v>
      </c>
      <c r="S21" s="101">
        <v>0.74583333333333335</v>
      </c>
      <c r="T21" s="101"/>
      <c r="U21" s="101"/>
      <c r="V21" s="101">
        <v>0.76736111111111116</v>
      </c>
      <c r="W21" s="72"/>
      <c r="X21" s="52"/>
      <c r="Y21" s="52">
        <f>(Table19[[#This Row],[Work Completiuon time on fualt]]-Table19[[#This Row],[Fault Time]])*24</f>
        <v>0.5166666666666675</v>
      </c>
      <c r="Z21" s="102" t="s">
        <v>4</v>
      </c>
      <c r="AA21" s="100" t="s">
        <v>81</v>
      </c>
      <c r="AB21" s="52">
        <f>IFERROR(Table19[[#This Row],[Plant Equivalent Weightage]]*Table19[[#This Row],[Resolution Time]],"")</f>
        <v>0.5166666666666675</v>
      </c>
      <c r="AC21" s="86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0">
        <f>YEAR(Table19[[#This Row],[Date]])+IF(MONTH(Table19[[#This Row],[Date]])&gt;=4,1,0)</f>
        <v>2026</v>
      </c>
      <c r="C22" s="100">
        <f>YEAR(Table19[[#This Row],[Date]])</f>
        <v>2025</v>
      </c>
      <c r="D22" s="98" t="s">
        <v>1082</v>
      </c>
      <c r="E22" s="98" t="s">
        <v>1082</v>
      </c>
      <c r="F22" s="113" t="str">
        <f>TEXT(Table19[[#This Row],[Date]],"mmm-yy")</f>
        <v>May-25</v>
      </c>
      <c r="G22" s="2">
        <f>DAY(EOMONTH(Table19[[#This Row],[Month Year]],0))</f>
        <v>31</v>
      </c>
      <c r="H22" s="99">
        <v>45792</v>
      </c>
      <c r="I22" s="58">
        <f>IFERROR(VLOOKUP(Table19[[#This Row],[Date]],Table3[[#All],[Date]:[Sunset Time (POA&lt;20 W/m2)]],3,0),"")</f>
        <v>0.26874999999999999</v>
      </c>
      <c r="J22" s="106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0" t="s">
        <v>304</v>
      </c>
      <c r="M22" s="7">
        <f>VLOOKUP(Table19[[#This Row],[Affceted Equipment]],'Basic Data'!$A$2:$B$108,2,0)</f>
        <v>8020.9</v>
      </c>
      <c r="N22" s="98" t="s">
        <v>305</v>
      </c>
      <c r="O22" s="98" t="s">
        <v>20</v>
      </c>
      <c r="P22" s="114">
        <f>IFERROR(VLOOKUP(Table19[[#This Row],[Affceted Equipment]],'Basic Data'!$A$2:$C$118,3,0),"")</f>
        <v>1</v>
      </c>
      <c r="Q22" s="100"/>
      <c r="R22" s="56" t="s">
        <v>306</v>
      </c>
      <c r="S22" s="101">
        <v>0.59583333333333333</v>
      </c>
      <c r="T22" s="101"/>
      <c r="U22" s="101"/>
      <c r="V22" s="101">
        <v>0.6020833333333333</v>
      </c>
      <c r="W22" s="72"/>
      <c r="X22" s="52"/>
      <c r="Y22" s="52">
        <f>(Table19[[#This Row],[Work Completiuon time on fualt]]-Table19[[#This Row],[Fault Time]])*24</f>
        <v>0.14999999999999947</v>
      </c>
      <c r="Z22" s="102" t="s">
        <v>4</v>
      </c>
      <c r="AA22" s="100" t="s">
        <v>81</v>
      </c>
      <c r="AB22" s="52">
        <f>IFERROR(Table19[[#This Row],[Plant Equivalent Weightage]]*Table19[[#This Row],[Resolution Time]],"")</f>
        <v>0.14999999999999947</v>
      </c>
      <c r="AC22" s="86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0">
        <f>YEAR(Table19[[#This Row],[Date]])+IF(MONTH(Table19[[#This Row],[Date]])&gt;=4,1,0)</f>
        <v>2026</v>
      </c>
      <c r="C23" s="100">
        <f>YEAR(Table19[[#This Row],[Date]])</f>
        <v>2025</v>
      </c>
      <c r="D23" s="98" t="s">
        <v>1082</v>
      </c>
      <c r="E23" s="98" t="s">
        <v>1082</v>
      </c>
      <c r="F23" s="113" t="str">
        <f>TEXT(Table19[[#This Row],[Date]],"mmm-yy")</f>
        <v>May-25</v>
      </c>
      <c r="G23" s="2">
        <f>DAY(EOMONTH(Table19[[#This Row],[Month Year]],0))</f>
        <v>31</v>
      </c>
      <c r="H23" s="99">
        <v>45793</v>
      </c>
      <c r="I23" s="58">
        <f>IFERROR(VLOOKUP(Table19[[#This Row],[Date]],Table3[[#All],[Date]:[Sunset Time (POA&lt;20 W/m2)]],3,0),"")</f>
        <v>0.24374999999999999</v>
      </c>
      <c r="J23" s="106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0" t="s">
        <v>304</v>
      </c>
      <c r="M23" s="7">
        <f>VLOOKUP(Table19[[#This Row],[Affceted Equipment]],'Basic Data'!$A$2:$B$108,2,0)</f>
        <v>8020.9</v>
      </c>
      <c r="N23" s="98" t="s">
        <v>305</v>
      </c>
      <c r="O23" s="98" t="s">
        <v>20</v>
      </c>
      <c r="P23" s="114">
        <f>IFERROR(VLOOKUP(Table19[[#This Row],[Affceted Equipment]],'Basic Data'!$A$2:$C$118,3,0),"")</f>
        <v>1</v>
      </c>
      <c r="Q23" s="100"/>
      <c r="R23" s="56" t="s">
        <v>306</v>
      </c>
      <c r="S23" s="101">
        <v>0.40555555555555556</v>
      </c>
      <c r="T23" s="101"/>
      <c r="U23" s="101"/>
      <c r="V23" s="101">
        <v>0.41666666666666669</v>
      </c>
      <c r="W23" s="72"/>
      <c r="X23" s="52"/>
      <c r="Y23" s="52">
        <f>(Table19[[#This Row],[Work Completiuon time on fualt]]-Table19[[#This Row],[Fault Time]])*24</f>
        <v>0.26666666666666705</v>
      </c>
      <c r="Z23" s="102" t="s">
        <v>4</v>
      </c>
      <c r="AA23" s="100" t="s">
        <v>81</v>
      </c>
      <c r="AB23" s="52">
        <f>IFERROR(Table19[[#This Row],[Plant Equivalent Weightage]]*Table19[[#This Row],[Resolution Time]],"")</f>
        <v>0.26666666666666705</v>
      </c>
      <c r="AC23" s="86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0">
        <f>YEAR(Table19[[#This Row],[Date]])+IF(MONTH(Table19[[#This Row],[Date]])&gt;=4,1,0)</f>
        <v>2026</v>
      </c>
      <c r="C24" s="100">
        <f>YEAR(Table19[[#This Row],[Date]])</f>
        <v>2025</v>
      </c>
      <c r="D24" s="98" t="s">
        <v>1082</v>
      </c>
      <c r="E24" s="98" t="s">
        <v>1082</v>
      </c>
      <c r="F24" s="113" t="str">
        <f>TEXT(Table19[[#This Row],[Date]],"mmm-yy")</f>
        <v>May-25</v>
      </c>
      <c r="G24" s="2">
        <f>DAY(EOMONTH(Table19[[#This Row],[Month Year]],0))</f>
        <v>31</v>
      </c>
      <c r="H24" s="99">
        <v>45793</v>
      </c>
      <c r="I24" s="104">
        <f>IFERROR(VLOOKUP(Table19[[#This Row],[Date]],Table3[[#All],[Date]:[Sunset Time (POA&lt;20 W/m2)]],3,0),"")</f>
        <v>0.24374999999999999</v>
      </c>
      <c r="J24" s="106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0" t="s">
        <v>304</v>
      </c>
      <c r="M24" s="7">
        <f>VLOOKUP(Table19[[#This Row],[Affceted Equipment]],'Basic Data'!$A$2:$B$108,2,0)</f>
        <v>8020.9</v>
      </c>
      <c r="N24" s="98" t="s">
        <v>305</v>
      </c>
      <c r="O24" s="98" t="s">
        <v>20</v>
      </c>
      <c r="P24" s="114">
        <f>IFERROR(VLOOKUP(Table19[[#This Row],[Affceted Equipment]],'Basic Data'!$A$2:$C$118,3,0),"")</f>
        <v>1</v>
      </c>
      <c r="Q24" s="100"/>
      <c r="R24" s="56" t="s">
        <v>306</v>
      </c>
      <c r="S24" s="101">
        <v>0.63472222222222219</v>
      </c>
      <c r="T24" s="101"/>
      <c r="U24" s="101"/>
      <c r="V24" s="101">
        <v>0.63958333333333328</v>
      </c>
      <c r="W24" s="72"/>
      <c r="X24" s="52"/>
      <c r="Y24" s="52">
        <f>(Table19[[#This Row],[Work Completiuon time on fualt]]-Table19[[#This Row],[Fault Time]])*24</f>
        <v>0.11666666666666625</v>
      </c>
      <c r="Z24" s="102" t="s">
        <v>4</v>
      </c>
      <c r="AA24" s="100" t="s">
        <v>81</v>
      </c>
      <c r="AB24" s="52">
        <f>IFERROR(Table19[[#This Row],[Plant Equivalent Weightage]]*Table19[[#This Row],[Resolution Time]],"")</f>
        <v>0.11666666666666625</v>
      </c>
      <c r="AC24" s="86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0">
        <f>YEAR(Table19[[#This Row],[Date]])+IF(MONTH(Table19[[#This Row],[Date]])&gt;=4,1,0)</f>
        <v>2026</v>
      </c>
      <c r="C25" s="100">
        <f>YEAR(Table19[[#This Row],[Date]])</f>
        <v>2025</v>
      </c>
      <c r="D25" s="98" t="s">
        <v>1082</v>
      </c>
      <c r="E25" s="98" t="s">
        <v>1082</v>
      </c>
      <c r="F25" s="113" t="str">
        <f>TEXT(Table19[[#This Row],[Date]],"mmm-yy")</f>
        <v>May-25</v>
      </c>
      <c r="G25" s="2">
        <f>DAY(EOMONTH(Table19[[#This Row],[Month Year]],0))</f>
        <v>31</v>
      </c>
      <c r="H25" s="99">
        <v>45794</v>
      </c>
      <c r="I25" s="58">
        <f>IFERROR(VLOOKUP(Table19[[#This Row],[Date]],Table3[[#All],[Date]:[Sunset Time (POA&lt;20 W/m2)]],3,0),"")</f>
        <v>0.24305555555555555</v>
      </c>
      <c r="J25" s="106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0" t="s">
        <v>304</v>
      </c>
      <c r="M25" s="7">
        <f>VLOOKUP(Table19[[#This Row],[Affceted Equipment]],'Basic Data'!$A$2:$B$108,2,0)</f>
        <v>8020.9</v>
      </c>
      <c r="N25" s="98" t="s">
        <v>305</v>
      </c>
      <c r="O25" s="98" t="s">
        <v>20</v>
      </c>
      <c r="P25" s="114">
        <f>IFERROR(VLOOKUP(Table19[[#This Row],[Affceted Equipment]],'Basic Data'!$A$2:$C$118,3,0),"")</f>
        <v>1</v>
      </c>
      <c r="Q25" s="100"/>
      <c r="R25" s="56" t="s">
        <v>306</v>
      </c>
      <c r="S25" s="101">
        <v>0.24652777777777779</v>
      </c>
      <c r="T25" s="101"/>
      <c r="U25" s="101"/>
      <c r="V25" s="101">
        <v>0.31319444444444444</v>
      </c>
      <c r="W25" s="72"/>
      <c r="X25" s="52"/>
      <c r="Y25" s="52">
        <f>(Table19[[#This Row],[Work Completiuon time on fualt]]-Table19[[#This Row],[Fault Time]])*24</f>
        <v>1.5999999999999996</v>
      </c>
      <c r="Z25" s="102" t="s">
        <v>4</v>
      </c>
      <c r="AA25" s="100" t="s">
        <v>81</v>
      </c>
      <c r="AB25" s="52">
        <f>IFERROR(Table19[[#This Row],[Plant Equivalent Weightage]]*Table19[[#This Row],[Resolution Time]],"")</f>
        <v>1.5999999999999996</v>
      </c>
      <c r="AC25" s="86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0">
        <f>YEAR(Table19[[#This Row],[Date]])+IF(MONTH(Table19[[#This Row],[Date]])&gt;=4,1,0)</f>
        <v>2026</v>
      </c>
      <c r="C26" s="100">
        <f>YEAR(Table19[[#This Row],[Date]])</f>
        <v>2025</v>
      </c>
      <c r="D26" s="98" t="s">
        <v>1082</v>
      </c>
      <c r="E26" s="98" t="s">
        <v>1082</v>
      </c>
      <c r="F26" s="113" t="str">
        <f>TEXT(Table19[[#This Row],[Date]],"mmm-yy")</f>
        <v>May-25</v>
      </c>
      <c r="G26" s="2">
        <f>DAY(EOMONTH(Table19[[#This Row],[Month Year]],0))</f>
        <v>31</v>
      </c>
      <c r="H26" s="99">
        <v>45794</v>
      </c>
      <c r="I26" s="104">
        <f>IFERROR(VLOOKUP(Table19[[#This Row],[Date]],Table3[[#All],[Date]:[Sunset Time (POA&lt;20 W/m2)]],3,0),"")</f>
        <v>0.24305555555555555</v>
      </c>
      <c r="J26" s="106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0" t="s">
        <v>304</v>
      </c>
      <c r="M26" s="7">
        <f>VLOOKUP(Table19[[#This Row],[Affceted Equipment]],'Basic Data'!$A$2:$B$108,2,0)</f>
        <v>8020.9</v>
      </c>
      <c r="N26" s="98" t="s">
        <v>305</v>
      </c>
      <c r="O26" s="98" t="s">
        <v>20</v>
      </c>
      <c r="P26" s="114">
        <f>IFERROR(VLOOKUP(Table19[[#This Row],[Affceted Equipment]],'Basic Data'!$A$2:$C$118,3,0),"")</f>
        <v>1</v>
      </c>
      <c r="Q26" s="100"/>
      <c r="R26" s="56" t="s">
        <v>306</v>
      </c>
      <c r="S26" s="101">
        <v>0.34027777777777779</v>
      </c>
      <c r="T26" s="101"/>
      <c r="U26" s="101"/>
      <c r="V26" s="101">
        <v>0.34375</v>
      </c>
      <c r="W26" s="72"/>
      <c r="X26" s="52"/>
      <c r="Y26" s="52">
        <f>(Table19[[#This Row],[Work Completiuon time on fualt]]-Table19[[#This Row],[Fault Time]])*24</f>
        <v>8.3333333333333037E-2</v>
      </c>
      <c r="Z26" s="102" t="s">
        <v>4</v>
      </c>
      <c r="AA26" s="100" t="s">
        <v>81</v>
      </c>
      <c r="AB26" s="52">
        <f>IFERROR(Table19[[#This Row],[Plant Equivalent Weightage]]*Table19[[#This Row],[Resolution Time]],"")</f>
        <v>8.3333333333333037E-2</v>
      </c>
      <c r="AC26" s="86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0">
        <f>YEAR(Table19[[#This Row],[Date]])+IF(MONTH(Table19[[#This Row],[Date]])&gt;=4,1,0)</f>
        <v>2026</v>
      </c>
      <c r="C27" s="100">
        <f>YEAR(Table19[[#This Row],[Date]])</f>
        <v>2025</v>
      </c>
      <c r="D27" s="98" t="s">
        <v>1082</v>
      </c>
      <c r="E27" s="98" t="s">
        <v>1082</v>
      </c>
      <c r="F27" s="113" t="str">
        <f>TEXT(Table19[[#This Row],[Date]],"mmm-yy")</f>
        <v>May-25</v>
      </c>
      <c r="G27" s="2">
        <f>DAY(EOMONTH(Table19[[#This Row],[Month Year]],0))</f>
        <v>31</v>
      </c>
      <c r="H27" s="99">
        <v>45795</v>
      </c>
      <c r="I27" s="58">
        <f>IFERROR(VLOOKUP(Table19[[#This Row],[Date]],Table3[[#All],[Date]:[Sunset Time (POA&lt;20 W/m2)]],3,0),"")</f>
        <v>0.25069444444444444</v>
      </c>
      <c r="J27" s="106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0" t="s">
        <v>304</v>
      </c>
      <c r="M27" s="7">
        <f>VLOOKUP(Table19[[#This Row],[Affceted Equipment]],'Basic Data'!$A$2:$B$108,2,0)</f>
        <v>8020.9</v>
      </c>
      <c r="N27" s="98" t="s">
        <v>305</v>
      </c>
      <c r="O27" s="98" t="s">
        <v>20</v>
      </c>
      <c r="P27" s="114">
        <f>IFERROR(VLOOKUP(Table19[[#This Row],[Affceted Equipment]],'Basic Data'!$A$2:$C$118,3,0),"")</f>
        <v>1</v>
      </c>
      <c r="Q27" s="100"/>
      <c r="R27" s="56" t="s">
        <v>306</v>
      </c>
      <c r="S27" s="101">
        <v>0.37638888888888888</v>
      </c>
      <c r="T27" s="101"/>
      <c r="U27" s="101"/>
      <c r="V27" s="101">
        <v>0.44097222222222221</v>
      </c>
      <c r="W27" s="72"/>
      <c r="X27" s="52"/>
      <c r="Y27" s="52">
        <f>(Table19[[#This Row],[Work Completiuon time on fualt]]-Table19[[#This Row],[Fault Time]])*24</f>
        <v>1.5499999999999998</v>
      </c>
      <c r="Z27" s="102" t="s">
        <v>4</v>
      </c>
      <c r="AA27" s="100" t="s">
        <v>81</v>
      </c>
      <c r="AB27" s="52">
        <f>IFERROR(Table19[[#This Row],[Plant Equivalent Weightage]]*Table19[[#This Row],[Resolution Time]],"")</f>
        <v>1.5499999999999998</v>
      </c>
      <c r="AC27" s="86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0">
        <f>YEAR(Table19[[#This Row],[Date]])+IF(MONTH(Table19[[#This Row],[Date]])&gt;=4,1,0)</f>
        <v>2026</v>
      </c>
      <c r="C28" s="100">
        <f>YEAR(Table19[[#This Row],[Date]])</f>
        <v>2025</v>
      </c>
      <c r="D28" s="98" t="s">
        <v>1082</v>
      </c>
      <c r="E28" s="98" t="s">
        <v>1082</v>
      </c>
      <c r="F28" s="113" t="str">
        <f>TEXT(Table19[[#This Row],[Date]],"mmm-yy")</f>
        <v>May-25</v>
      </c>
      <c r="G28" s="2">
        <f>DAY(EOMONTH(Table19[[#This Row],[Month Year]],0))</f>
        <v>31</v>
      </c>
      <c r="H28" s="99">
        <v>45795</v>
      </c>
      <c r="I28" s="104">
        <f>IFERROR(VLOOKUP(Table19[[#This Row],[Date]],Table3[[#All],[Date]:[Sunset Time (POA&lt;20 W/m2)]],3,0),"")</f>
        <v>0.25069444444444444</v>
      </c>
      <c r="J28" s="106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0" t="s">
        <v>304</v>
      </c>
      <c r="M28" s="7">
        <f>VLOOKUP(Table19[[#This Row],[Affceted Equipment]],'Basic Data'!$A$2:$B$108,2,0)</f>
        <v>8020.9</v>
      </c>
      <c r="N28" s="98" t="s">
        <v>305</v>
      </c>
      <c r="O28" s="98" t="s">
        <v>20</v>
      </c>
      <c r="P28" s="114">
        <f>IFERROR(VLOOKUP(Table19[[#This Row],[Affceted Equipment]],'Basic Data'!$A$2:$C$118,3,0),"")</f>
        <v>1</v>
      </c>
      <c r="Q28" s="100"/>
      <c r="R28" s="56" t="s">
        <v>306</v>
      </c>
      <c r="S28" s="101">
        <v>0.56458333333333333</v>
      </c>
      <c r="T28" s="101"/>
      <c r="U28" s="101"/>
      <c r="V28" s="101">
        <v>0.59027777777777779</v>
      </c>
      <c r="W28" s="72"/>
      <c r="X28" s="52"/>
      <c r="Y28" s="52">
        <f>(Table19[[#This Row],[Work Completiuon time on fualt]]-Table19[[#This Row],[Fault Time]])*24</f>
        <v>0.61666666666666714</v>
      </c>
      <c r="Z28" s="102" t="s">
        <v>4</v>
      </c>
      <c r="AA28" s="100" t="s">
        <v>81</v>
      </c>
      <c r="AB28" s="52">
        <f>IFERROR(Table19[[#This Row],[Plant Equivalent Weightage]]*Table19[[#This Row],[Resolution Time]],"")</f>
        <v>0.61666666666666714</v>
      </c>
      <c r="AC28" s="86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0">
        <f>YEAR(Table19[[#This Row],[Date]])+IF(MONTH(Table19[[#This Row],[Date]])&gt;=4,1,0)</f>
        <v>2026</v>
      </c>
      <c r="C29" s="100">
        <f>YEAR(Table19[[#This Row],[Date]])</f>
        <v>2025</v>
      </c>
      <c r="D29" s="98" t="s">
        <v>1082</v>
      </c>
      <c r="E29" s="98" t="s">
        <v>1082</v>
      </c>
      <c r="F29" s="113" t="str">
        <f>TEXT(Table19[[#This Row],[Date]],"mmm-yy")</f>
        <v>May-25</v>
      </c>
      <c r="G29" s="2">
        <f>DAY(EOMONTH(Table19[[#This Row],[Month Year]],0))</f>
        <v>31</v>
      </c>
      <c r="H29" s="99">
        <v>45795</v>
      </c>
      <c r="I29" s="104">
        <f>IFERROR(VLOOKUP(Table19[[#This Row],[Date]],Table3[[#All],[Date]:[Sunset Time (POA&lt;20 W/m2)]],3,0),"")</f>
        <v>0.25069444444444444</v>
      </c>
      <c r="J29" s="106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0" t="s">
        <v>304</v>
      </c>
      <c r="M29" s="7">
        <f>VLOOKUP(Table19[[#This Row],[Affceted Equipment]],'Basic Data'!$A$2:$B$108,2,0)</f>
        <v>8020.9</v>
      </c>
      <c r="N29" s="98" t="s">
        <v>305</v>
      </c>
      <c r="O29" s="98" t="s">
        <v>20</v>
      </c>
      <c r="P29" s="114">
        <f>IFERROR(VLOOKUP(Table19[[#This Row],[Affceted Equipment]],'Basic Data'!$A$2:$C$118,3,0),"")</f>
        <v>1</v>
      </c>
      <c r="Q29" s="100"/>
      <c r="R29" s="56" t="s">
        <v>306</v>
      </c>
      <c r="S29" s="101">
        <v>0.61944444444444446</v>
      </c>
      <c r="T29" s="101"/>
      <c r="U29" s="101"/>
      <c r="V29" s="101">
        <v>0.64444444444444449</v>
      </c>
      <c r="W29" s="72"/>
      <c r="X29" s="52"/>
      <c r="Y29" s="52">
        <f>(Table19[[#This Row],[Work Completiuon time on fualt]]-Table19[[#This Row],[Fault Time]])*24</f>
        <v>0.60000000000000053</v>
      </c>
      <c r="Z29" s="102" t="s">
        <v>4</v>
      </c>
      <c r="AA29" s="100" t="s">
        <v>81</v>
      </c>
      <c r="AB29" s="52">
        <f>IFERROR(Table19[[#This Row],[Plant Equivalent Weightage]]*Table19[[#This Row],[Resolution Time]],"")</f>
        <v>0.60000000000000053</v>
      </c>
      <c r="AC29" s="86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0">
        <f>YEAR(Table19[[#This Row],[Date]])+IF(MONTH(Table19[[#This Row],[Date]])&gt;=4,1,0)</f>
        <v>2026</v>
      </c>
      <c r="C30" s="100">
        <f>YEAR(Table19[[#This Row],[Date]])</f>
        <v>2025</v>
      </c>
      <c r="D30" s="98" t="s">
        <v>1082</v>
      </c>
      <c r="E30" s="98" t="s">
        <v>1082</v>
      </c>
      <c r="F30" s="113" t="str">
        <f>TEXT(Table19[[#This Row],[Date]],"mmm-yy")</f>
        <v>May-25</v>
      </c>
      <c r="G30" s="2">
        <f>DAY(EOMONTH(Table19[[#This Row],[Month Year]],0))</f>
        <v>31</v>
      </c>
      <c r="H30" s="99">
        <v>45796</v>
      </c>
      <c r="I30" s="58">
        <f>IFERROR(VLOOKUP(Table19[[#This Row],[Date]],Table3[[#All],[Date]:[Sunset Time (POA&lt;20 W/m2)]],3,0),"")</f>
        <v>0.25</v>
      </c>
      <c r="J30" s="106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0" t="s">
        <v>304</v>
      </c>
      <c r="M30" s="7">
        <f>VLOOKUP(Table19[[#This Row],[Affceted Equipment]],'Basic Data'!$A$2:$B$108,2,0)</f>
        <v>8020.9</v>
      </c>
      <c r="N30" s="98" t="s">
        <v>305</v>
      </c>
      <c r="O30" s="98" t="s">
        <v>20</v>
      </c>
      <c r="P30" s="114">
        <f>IFERROR(VLOOKUP(Table19[[#This Row],[Affceted Equipment]],'Basic Data'!$A$2:$C$118,3,0),"")</f>
        <v>1</v>
      </c>
      <c r="Q30" s="100"/>
      <c r="R30" s="56" t="s">
        <v>306</v>
      </c>
      <c r="S30" s="101">
        <v>0.52361111111111114</v>
      </c>
      <c r="T30" s="101"/>
      <c r="U30" s="101"/>
      <c r="V30" s="101">
        <v>0.55138888888888893</v>
      </c>
      <c r="W30" s="72"/>
      <c r="X30" s="52"/>
      <c r="Y30" s="52">
        <f>(Table19[[#This Row],[Work Completiuon time on fualt]]-Table19[[#This Row],[Fault Time]])*24</f>
        <v>0.66666666666666696</v>
      </c>
      <c r="Z30" s="102" t="s">
        <v>4</v>
      </c>
      <c r="AA30" s="100" t="s">
        <v>81</v>
      </c>
      <c r="AB30" s="52">
        <f>IFERROR(Table19[[#This Row],[Plant Equivalent Weightage]]*Table19[[#This Row],[Resolution Time]],"")</f>
        <v>0.66666666666666696</v>
      </c>
      <c r="AC30" s="86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0">
        <f>YEAR(Table19[[#This Row],[Date]])+IF(MONTH(Table19[[#This Row],[Date]])&gt;=4,1,0)</f>
        <v>2026</v>
      </c>
      <c r="C31" s="100">
        <f>YEAR(Table19[[#This Row],[Date]])</f>
        <v>2025</v>
      </c>
      <c r="D31" s="98" t="s">
        <v>1082</v>
      </c>
      <c r="E31" s="98" t="s">
        <v>1082</v>
      </c>
      <c r="F31" s="113" t="str">
        <f>TEXT(Table19[[#This Row],[Date]],"mmm-yy")</f>
        <v>May-25</v>
      </c>
      <c r="G31" s="2">
        <f>DAY(EOMONTH(Table19[[#This Row],[Month Year]],0))</f>
        <v>31</v>
      </c>
      <c r="H31" s="99">
        <v>45798</v>
      </c>
      <c r="I31" s="58">
        <f>IFERROR(VLOOKUP(Table19[[#This Row],[Date]],Table3[[#All],[Date]:[Sunset Time (POA&lt;20 W/m2)]],3,0),"")</f>
        <v>0.24305555555555555</v>
      </c>
      <c r="J31" s="106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0" t="s">
        <v>304</v>
      </c>
      <c r="M31" s="7">
        <f>VLOOKUP(Table19[[#This Row],[Affceted Equipment]],'Basic Data'!$A$2:$B$108,2,0)</f>
        <v>8020.9</v>
      </c>
      <c r="N31" s="98" t="s">
        <v>305</v>
      </c>
      <c r="O31" s="98" t="s">
        <v>20</v>
      </c>
      <c r="P31" s="114">
        <f>IFERROR(VLOOKUP(Table19[[#This Row],[Affceted Equipment]],'Basic Data'!$A$2:$C$118,3,0),"")</f>
        <v>1</v>
      </c>
      <c r="Q31" s="100"/>
      <c r="R31" s="56" t="s">
        <v>306</v>
      </c>
      <c r="S31" s="101">
        <v>0.61388888888888893</v>
      </c>
      <c r="T31" s="101"/>
      <c r="U31" s="101"/>
      <c r="V31" s="101">
        <v>0.7416666666666667</v>
      </c>
      <c r="W31" s="72"/>
      <c r="X31" s="52"/>
      <c r="Y31" s="52">
        <f>(Table19[[#This Row],[Work Completiuon time on fualt]]-Table19[[#This Row],[Fault Time]])*24</f>
        <v>3.0666666666666664</v>
      </c>
      <c r="Z31" s="102" t="s">
        <v>4</v>
      </c>
      <c r="AA31" s="100" t="s">
        <v>81</v>
      </c>
      <c r="AB31" s="52">
        <f>IFERROR(Table19[[#This Row],[Plant Equivalent Weightage]]*Table19[[#This Row],[Resolution Time]],"")</f>
        <v>3.0666666666666664</v>
      </c>
      <c r="AC31" s="86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0">
        <f>YEAR(Table19[[#This Row],[Date]])+IF(MONTH(Table19[[#This Row],[Date]])&gt;=4,1,0)</f>
        <v>2026</v>
      </c>
      <c r="C32" s="100">
        <f>YEAR(Table19[[#This Row],[Date]])</f>
        <v>2025</v>
      </c>
      <c r="D32" s="98" t="s">
        <v>1082</v>
      </c>
      <c r="E32" s="98" t="s">
        <v>1082</v>
      </c>
      <c r="F32" s="113" t="str">
        <f>TEXT(Table19[[#This Row],[Date]],"mmm-yy")</f>
        <v>May-25</v>
      </c>
      <c r="G32" s="2">
        <f>DAY(EOMONTH(Table19[[#This Row],[Month Year]],0))</f>
        <v>31</v>
      </c>
      <c r="H32" s="99">
        <v>45799</v>
      </c>
      <c r="I32" s="58">
        <f>IFERROR(VLOOKUP(Table19[[#This Row],[Date]],Table3[[#All],[Date]:[Sunset Time (POA&lt;20 W/m2)]],3,0),"")</f>
        <v>0.24374999999999999</v>
      </c>
      <c r="J32" s="106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0" t="s">
        <v>304</v>
      </c>
      <c r="M32" s="7">
        <f>VLOOKUP(Table19[[#This Row],[Affceted Equipment]],'Basic Data'!$A$2:$B$108,2,0)</f>
        <v>8020.9</v>
      </c>
      <c r="N32" s="98" t="s">
        <v>305</v>
      </c>
      <c r="O32" s="98" t="s">
        <v>20</v>
      </c>
      <c r="P32" s="114">
        <f>IFERROR(VLOOKUP(Table19[[#This Row],[Affceted Equipment]],'Basic Data'!$A$2:$C$118,3,0),"")</f>
        <v>1</v>
      </c>
      <c r="Q32" s="100"/>
      <c r="R32" s="56" t="s">
        <v>306</v>
      </c>
      <c r="S32" s="101">
        <v>0.34166666666666667</v>
      </c>
      <c r="T32" s="101"/>
      <c r="U32" s="101"/>
      <c r="V32" s="101">
        <v>0.39166666666666666</v>
      </c>
      <c r="W32" s="72"/>
      <c r="X32" s="52"/>
      <c r="Y32" s="52">
        <f>(Table19[[#This Row],[Work Completiuon time on fualt]]-Table19[[#This Row],[Fault Time]])*24</f>
        <v>1.1999999999999997</v>
      </c>
      <c r="Z32" s="102" t="s">
        <v>4</v>
      </c>
      <c r="AA32" s="100" t="s">
        <v>81</v>
      </c>
      <c r="AB32" s="52">
        <f>IFERROR(Table19[[#This Row],[Plant Equivalent Weightage]]*Table19[[#This Row],[Resolution Time]],"")</f>
        <v>1.1999999999999997</v>
      </c>
      <c r="AC32" s="86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0">
        <f>YEAR(Table19[[#This Row],[Date]])+IF(MONTH(Table19[[#This Row],[Date]])&gt;=4,1,0)</f>
        <v>2026</v>
      </c>
      <c r="C33" s="100">
        <f>YEAR(Table19[[#This Row],[Date]])</f>
        <v>2025</v>
      </c>
      <c r="D33" s="98" t="s">
        <v>1082</v>
      </c>
      <c r="E33" s="98" t="s">
        <v>1082</v>
      </c>
      <c r="F33" s="113" t="str">
        <f>TEXT(Table19[[#This Row],[Date]],"mmm-yy")</f>
        <v>May-25</v>
      </c>
      <c r="G33" s="2">
        <f>DAY(EOMONTH(Table19[[#This Row],[Month Year]],0))</f>
        <v>31</v>
      </c>
      <c r="H33" s="99">
        <v>45799</v>
      </c>
      <c r="I33" s="104">
        <f>IFERROR(VLOOKUP(Table19[[#This Row],[Date]],Table3[[#All],[Date]:[Sunset Time (POA&lt;20 W/m2)]],3,0),"")</f>
        <v>0.24374999999999999</v>
      </c>
      <c r="J33" s="106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0" t="s">
        <v>304</v>
      </c>
      <c r="M33" s="7">
        <f>VLOOKUP(Table19[[#This Row],[Affceted Equipment]],'Basic Data'!$A$2:$B$108,2,0)</f>
        <v>8020.9</v>
      </c>
      <c r="N33" s="98" t="s">
        <v>305</v>
      </c>
      <c r="O33" s="98" t="s">
        <v>20</v>
      </c>
      <c r="P33" s="114">
        <f>IFERROR(VLOOKUP(Table19[[#This Row],[Affceted Equipment]],'Basic Data'!$A$2:$C$118,3,0),"")</f>
        <v>1</v>
      </c>
      <c r="Q33" s="100"/>
      <c r="R33" s="56" t="s">
        <v>306</v>
      </c>
      <c r="S33" s="101">
        <v>0.46111111111111114</v>
      </c>
      <c r="T33" s="101"/>
      <c r="U33" s="101"/>
      <c r="V33" s="101">
        <v>0.47916666666666669</v>
      </c>
      <c r="W33" s="72"/>
      <c r="X33" s="52"/>
      <c r="Y33" s="52">
        <f>(Table19[[#This Row],[Work Completiuon time on fualt]]-Table19[[#This Row],[Fault Time]])*24</f>
        <v>0.43333333333333313</v>
      </c>
      <c r="Z33" s="102" t="s">
        <v>4</v>
      </c>
      <c r="AA33" s="100" t="s">
        <v>81</v>
      </c>
      <c r="AB33" s="52">
        <f>IFERROR(Table19[[#This Row],[Plant Equivalent Weightage]]*Table19[[#This Row],[Resolution Time]],"")</f>
        <v>0.43333333333333313</v>
      </c>
      <c r="AC33" s="86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0">
        <f>YEAR(Table19[[#This Row],[Date]])+IF(MONTH(Table19[[#This Row],[Date]])&gt;=4,1,0)</f>
        <v>2026</v>
      </c>
      <c r="C34" s="100">
        <f>YEAR(Table19[[#This Row],[Date]])</f>
        <v>2025</v>
      </c>
      <c r="D34" s="98" t="s">
        <v>1082</v>
      </c>
      <c r="E34" s="98" t="s">
        <v>1082</v>
      </c>
      <c r="F34" s="113" t="str">
        <f>TEXT(Table19[[#This Row],[Date]],"mmm-yy")</f>
        <v>May-25</v>
      </c>
      <c r="G34" s="2">
        <f>DAY(EOMONTH(Table19[[#This Row],[Month Year]],0))</f>
        <v>31</v>
      </c>
      <c r="H34" s="99">
        <v>45799</v>
      </c>
      <c r="I34" s="104">
        <f>IFERROR(VLOOKUP(Table19[[#This Row],[Date]],Table3[[#All],[Date]:[Sunset Time (POA&lt;20 W/m2)]],3,0),"")</f>
        <v>0.24374999999999999</v>
      </c>
      <c r="J34" s="106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0" t="s">
        <v>304</v>
      </c>
      <c r="M34" s="7">
        <f>VLOOKUP(Table19[[#This Row],[Affceted Equipment]],'Basic Data'!$A$2:$B$108,2,0)</f>
        <v>8020.9</v>
      </c>
      <c r="N34" s="98" t="s">
        <v>305</v>
      </c>
      <c r="O34" s="98" t="s">
        <v>20</v>
      </c>
      <c r="P34" s="114">
        <f>IFERROR(VLOOKUP(Table19[[#This Row],[Affceted Equipment]],'Basic Data'!$A$2:$C$118,3,0),"")</f>
        <v>1</v>
      </c>
      <c r="Q34" s="100"/>
      <c r="R34" s="56" t="s">
        <v>306</v>
      </c>
      <c r="S34" s="101">
        <v>0.65833333333333333</v>
      </c>
      <c r="T34" s="101"/>
      <c r="U34" s="101"/>
      <c r="V34" s="101">
        <v>0.6743055555555556</v>
      </c>
      <c r="W34" s="72"/>
      <c r="X34" s="52"/>
      <c r="Y34" s="52">
        <f>(Table19[[#This Row],[Work Completiuon time on fualt]]-Table19[[#This Row],[Fault Time]])*24</f>
        <v>0.38333333333333464</v>
      </c>
      <c r="Z34" s="102" t="s">
        <v>4</v>
      </c>
      <c r="AA34" s="100" t="s">
        <v>81</v>
      </c>
      <c r="AB34" s="52">
        <f>IFERROR(Table19[[#This Row],[Plant Equivalent Weightage]]*Table19[[#This Row],[Resolution Time]],"")</f>
        <v>0.38333333333333464</v>
      </c>
      <c r="AC34" s="86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0">
        <f>YEAR(Table19[[#This Row],[Date]])+IF(MONTH(Table19[[#This Row],[Date]])&gt;=4,1,0)</f>
        <v>2026</v>
      </c>
      <c r="C35" s="100">
        <f>YEAR(Table19[[#This Row],[Date]])</f>
        <v>2025</v>
      </c>
      <c r="D35" s="98" t="s">
        <v>1082</v>
      </c>
      <c r="E35" s="98" t="s">
        <v>1082</v>
      </c>
      <c r="F35" s="113" t="str">
        <f>TEXT(Table19[[#This Row],[Date]],"mmm-yy")</f>
        <v>May-25</v>
      </c>
      <c r="G35" s="2">
        <f>DAY(EOMONTH(Table19[[#This Row],[Month Year]],0))</f>
        <v>31</v>
      </c>
      <c r="H35" s="99">
        <v>45801</v>
      </c>
      <c r="I35" s="58">
        <f>IFERROR(VLOOKUP(Table19[[#This Row],[Date]],Table3[[#All],[Date]:[Sunset Time (POA&lt;20 W/m2)]],3,0),"")</f>
        <v>0.25069444444444444</v>
      </c>
      <c r="J35" s="106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0" t="s">
        <v>304</v>
      </c>
      <c r="M35" s="7">
        <f>VLOOKUP(Table19[[#This Row],[Affceted Equipment]],'Basic Data'!$A$2:$B$108,2,0)</f>
        <v>8020.9</v>
      </c>
      <c r="N35" s="98" t="s">
        <v>305</v>
      </c>
      <c r="O35" s="98" t="s">
        <v>20</v>
      </c>
      <c r="P35" s="114">
        <f>IFERROR(VLOOKUP(Table19[[#This Row],[Affceted Equipment]],'Basic Data'!$A$2:$C$118,3,0),"")</f>
        <v>1</v>
      </c>
      <c r="Q35" s="100"/>
      <c r="R35" s="56" t="s">
        <v>306</v>
      </c>
      <c r="S35" s="101">
        <v>0.65555555555555556</v>
      </c>
      <c r="T35" s="101"/>
      <c r="U35" s="101"/>
      <c r="V35" s="101">
        <v>0.66249999999999998</v>
      </c>
      <c r="W35" s="72"/>
      <c r="X35" s="52"/>
      <c r="Y35" s="52">
        <f>(Table19[[#This Row],[Work Completiuon time on fualt]]-Table19[[#This Row],[Fault Time]])*24</f>
        <v>0.16666666666666607</v>
      </c>
      <c r="Z35" s="102" t="s">
        <v>4</v>
      </c>
      <c r="AA35" s="100" t="s">
        <v>81</v>
      </c>
      <c r="AB35" s="52">
        <f>IFERROR(Table19[[#This Row],[Plant Equivalent Weightage]]*Table19[[#This Row],[Resolution Time]],"")</f>
        <v>0.16666666666666607</v>
      </c>
      <c r="AC35" s="86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0">
        <f>YEAR(Table19[[#This Row],[Date]])+IF(MONTH(Table19[[#This Row],[Date]])&gt;=4,1,0)</f>
        <v>2026</v>
      </c>
      <c r="C36" s="100">
        <f>YEAR(Table19[[#This Row],[Date]])</f>
        <v>2025</v>
      </c>
      <c r="D36" s="98" t="s">
        <v>1082</v>
      </c>
      <c r="E36" s="98" t="s">
        <v>1082</v>
      </c>
      <c r="F36" s="113" t="str">
        <f>TEXT(Table19[[#This Row],[Date]],"mmm-yy")</f>
        <v>May-25</v>
      </c>
      <c r="G36" s="2">
        <f>DAY(EOMONTH(Table19[[#This Row],[Month Year]],0))</f>
        <v>31</v>
      </c>
      <c r="H36" s="99">
        <v>45801</v>
      </c>
      <c r="I36" s="104">
        <f>IFERROR(VLOOKUP(Table19[[#This Row],[Date]],Table3[[#All],[Date]:[Sunset Time (POA&lt;20 W/m2)]],3,0),"")</f>
        <v>0.25069444444444444</v>
      </c>
      <c r="J36" s="106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0" t="s">
        <v>304</v>
      </c>
      <c r="M36" s="7">
        <f>VLOOKUP(Table19[[#This Row],[Affceted Equipment]],'Basic Data'!$A$2:$B$108,2,0)</f>
        <v>8020.9</v>
      </c>
      <c r="N36" s="98" t="s">
        <v>305</v>
      </c>
      <c r="O36" s="98" t="s">
        <v>20</v>
      </c>
      <c r="P36" s="114">
        <f>IFERROR(VLOOKUP(Table19[[#This Row],[Affceted Equipment]],'Basic Data'!$A$2:$C$118,3,0),"")</f>
        <v>1</v>
      </c>
      <c r="Q36" s="100"/>
      <c r="R36" s="56" t="s">
        <v>306</v>
      </c>
      <c r="S36" s="101">
        <v>0.68888888888888888</v>
      </c>
      <c r="T36" s="101"/>
      <c r="U36" s="101"/>
      <c r="V36" s="101">
        <v>0.70694444444444449</v>
      </c>
      <c r="W36" s="72"/>
      <c r="X36" s="52"/>
      <c r="Y36" s="52">
        <f>(Table19[[#This Row],[Work Completiuon time on fualt]]-Table19[[#This Row],[Fault Time]])*24</f>
        <v>0.43333333333333446</v>
      </c>
      <c r="Z36" s="102" t="s">
        <v>4</v>
      </c>
      <c r="AA36" s="100" t="s">
        <v>81</v>
      </c>
      <c r="AB36" s="52">
        <f>IFERROR(Table19[[#This Row],[Plant Equivalent Weightage]]*Table19[[#This Row],[Resolution Time]],"")</f>
        <v>0.43333333333333446</v>
      </c>
      <c r="AC36" s="86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0">
        <f>YEAR(Table19[[#This Row],[Date]])+IF(MONTH(Table19[[#This Row],[Date]])&gt;=4,1,0)</f>
        <v>2026</v>
      </c>
      <c r="C37" s="100">
        <f>YEAR(Table19[[#This Row],[Date]])</f>
        <v>2025</v>
      </c>
      <c r="D37" s="98" t="s">
        <v>1082</v>
      </c>
      <c r="E37" s="98" t="s">
        <v>1082</v>
      </c>
      <c r="F37" s="113" t="str">
        <f>TEXT(Table19[[#This Row],[Date]],"mmm-yy")</f>
        <v>May-25</v>
      </c>
      <c r="G37" s="2">
        <f>DAY(EOMONTH(Table19[[#This Row],[Month Year]],0))</f>
        <v>31</v>
      </c>
      <c r="H37" s="99">
        <v>45802</v>
      </c>
      <c r="I37" s="58">
        <f>IFERROR(VLOOKUP(Table19[[#This Row],[Date]],Table3[[#All],[Date]:[Sunset Time (POA&lt;20 W/m2)]],3,0),"")</f>
        <v>0.24374999999999999</v>
      </c>
      <c r="J37" s="106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0" t="s">
        <v>304</v>
      </c>
      <c r="M37" s="7">
        <f>VLOOKUP(Table19[[#This Row],[Affceted Equipment]],'Basic Data'!$A$2:$B$108,2,0)</f>
        <v>8020.9</v>
      </c>
      <c r="N37" s="98" t="s">
        <v>305</v>
      </c>
      <c r="O37" s="98" t="s">
        <v>20</v>
      </c>
      <c r="P37" s="114">
        <f>IFERROR(VLOOKUP(Table19[[#This Row],[Affceted Equipment]],'Basic Data'!$A$2:$C$118,3,0),"")</f>
        <v>1</v>
      </c>
      <c r="Q37" s="100"/>
      <c r="R37" s="56" t="s">
        <v>306</v>
      </c>
      <c r="S37" s="101">
        <v>0.74027777777777781</v>
      </c>
      <c r="T37" s="101"/>
      <c r="U37" s="101"/>
      <c r="V37" s="101">
        <v>0.75069444444444444</v>
      </c>
      <c r="W37" s="72"/>
      <c r="X37" s="52"/>
      <c r="Y37" s="52">
        <f>(Table19[[#This Row],[Work Completiuon time on fualt]]-Table19[[#This Row],[Fault Time]])*24</f>
        <v>0.24999999999999911</v>
      </c>
      <c r="Z37" s="102" t="s">
        <v>4</v>
      </c>
      <c r="AA37" s="100" t="s">
        <v>81</v>
      </c>
      <c r="AB37" s="52">
        <f>IFERROR(Table19[[#This Row],[Plant Equivalent Weightage]]*Table19[[#This Row],[Resolution Time]],"")</f>
        <v>0.24999999999999911</v>
      </c>
      <c r="AC37" s="86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0">
        <f>YEAR(Table19[[#This Row],[Date]])+IF(MONTH(Table19[[#This Row],[Date]])&gt;=4,1,0)</f>
        <v>2026</v>
      </c>
      <c r="C38" s="100">
        <f>YEAR(Table19[[#This Row],[Date]])</f>
        <v>2025</v>
      </c>
      <c r="D38" s="98" t="s">
        <v>1082</v>
      </c>
      <c r="E38" s="98" t="s">
        <v>1082</v>
      </c>
      <c r="F38" s="113" t="str">
        <f>TEXT(Table19[[#This Row],[Date]],"mmm-yy")</f>
        <v>May-25</v>
      </c>
      <c r="G38" s="2">
        <f>DAY(EOMONTH(Table19[[#This Row],[Month Year]],0))</f>
        <v>31</v>
      </c>
      <c r="H38" s="99">
        <v>45803</v>
      </c>
      <c r="I38" s="58">
        <f>IFERROR(VLOOKUP(Table19[[#This Row],[Date]],Table3[[#All],[Date]:[Sunset Time (POA&lt;20 W/m2)]],3,0),"")</f>
        <v>0.25138888888888888</v>
      </c>
      <c r="J38" s="106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0" t="s">
        <v>304</v>
      </c>
      <c r="M38" s="7">
        <f>VLOOKUP(Table19[[#This Row],[Affceted Equipment]],'Basic Data'!$A$2:$B$108,2,0)</f>
        <v>8020.9</v>
      </c>
      <c r="N38" s="98" t="s">
        <v>305</v>
      </c>
      <c r="O38" s="98" t="s">
        <v>20</v>
      </c>
      <c r="P38" s="114">
        <f>IFERROR(VLOOKUP(Table19[[#This Row],[Affceted Equipment]],'Basic Data'!$A$2:$C$118,3,0),"")</f>
        <v>1</v>
      </c>
      <c r="Q38" s="100"/>
      <c r="R38" s="56" t="s">
        <v>306</v>
      </c>
      <c r="S38" s="101">
        <v>0.55694444444444446</v>
      </c>
      <c r="T38" s="101"/>
      <c r="U38" s="101"/>
      <c r="V38" s="101">
        <v>0.56180555555555556</v>
      </c>
      <c r="W38" s="72"/>
      <c r="X38" s="52"/>
      <c r="Y38" s="52">
        <f>(Table19[[#This Row],[Work Completiuon time on fualt]]-Table19[[#This Row],[Fault Time]])*24</f>
        <v>0.11666666666666625</v>
      </c>
      <c r="Z38" s="102" t="s">
        <v>4</v>
      </c>
      <c r="AA38" s="100" t="s">
        <v>81</v>
      </c>
      <c r="AB38" s="52">
        <f>IFERROR(Table19[[#This Row],[Plant Equivalent Weightage]]*Table19[[#This Row],[Resolution Time]],"")</f>
        <v>0.11666666666666625</v>
      </c>
      <c r="AC38" s="86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0">
        <f>YEAR(Table19[[#This Row],[Date]])+IF(MONTH(Table19[[#This Row],[Date]])&gt;=4,1,0)</f>
        <v>2026</v>
      </c>
      <c r="C39" s="100">
        <f>YEAR(Table19[[#This Row],[Date]])</f>
        <v>2025</v>
      </c>
      <c r="D39" s="98" t="s">
        <v>1082</v>
      </c>
      <c r="E39" s="98" t="s">
        <v>1082</v>
      </c>
      <c r="F39" s="113" t="str">
        <f>TEXT(Table19[[#This Row],[Date]],"mmm-yy")</f>
        <v>May-25</v>
      </c>
      <c r="G39" s="2">
        <f>DAY(EOMONTH(Table19[[#This Row],[Month Year]],0))</f>
        <v>31</v>
      </c>
      <c r="H39" s="99">
        <v>45804</v>
      </c>
      <c r="I39" s="58">
        <f>IFERROR(VLOOKUP(Table19[[#This Row],[Date]],Table3[[#All],[Date]:[Sunset Time (POA&lt;20 W/m2)]],3,0),"")</f>
        <v>0.24374999999999999</v>
      </c>
      <c r="J39" s="106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0" t="s">
        <v>304</v>
      </c>
      <c r="M39" s="7">
        <f>VLOOKUP(Table19[[#This Row],[Affceted Equipment]],'Basic Data'!$A$2:$B$108,2,0)</f>
        <v>8020.9</v>
      </c>
      <c r="N39" s="98" t="s">
        <v>305</v>
      </c>
      <c r="O39" s="98" t="s">
        <v>20</v>
      </c>
      <c r="P39" s="114">
        <f>IFERROR(VLOOKUP(Table19[[#This Row],[Affceted Equipment]],'Basic Data'!$A$2:$C$118,3,0),"")</f>
        <v>1</v>
      </c>
      <c r="Q39" s="100"/>
      <c r="R39" s="56" t="s">
        <v>306</v>
      </c>
      <c r="S39" s="101">
        <v>0.32777777777777778</v>
      </c>
      <c r="T39" s="101"/>
      <c r="U39" s="101"/>
      <c r="V39" s="101">
        <v>0.34791666666666665</v>
      </c>
      <c r="W39" s="72"/>
      <c r="X39" s="52"/>
      <c r="Y39" s="52">
        <f>(Table19[[#This Row],[Work Completiuon time on fualt]]-Table19[[#This Row],[Fault Time]])*24</f>
        <v>0.48333333333333295</v>
      </c>
      <c r="Z39" s="102" t="s">
        <v>4</v>
      </c>
      <c r="AA39" s="100" t="s">
        <v>81</v>
      </c>
      <c r="AB39" s="52">
        <f>IFERROR(Table19[[#This Row],[Plant Equivalent Weightage]]*Table19[[#This Row],[Resolution Time]],"")</f>
        <v>0.48333333333333295</v>
      </c>
      <c r="AC39" s="86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0">
        <f>YEAR(Table19[[#This Row],[Date]])+IF(MONTH(Table19[[#This Row],[Date]])&gt;=4,1,0)</f>
        <v>2026</v>
      </c>
      <c r="C40" s="100">
        <f>YEAR(Table19[[#This Row],[Date]])</f>
        <v>2025</v>
      </c>
      <c r="D40" s="98" t="s">
        <v>1082</v>
      </c>
      <c r="E40" s="98" t="s">
        <v>1082</v>
      </c>
      <c r="F40" s="113" t="str">
        <f>TEXT(Table19[[#This Row],[Date]],"mmm-yy")</f>
        <v>Jun-25</v>
      </c>
      <c r="G40" s="2">
        <f>DAY(EOMONTH(Table19[[#This Row],[Month Year]],0))</f>
        <v>30</v>
      </c>
      <c r="H40" s="99">
        <v>45813</v>
      </c>
      <c r="I40" s="58">
        <f>IFERROR(VLOOKUP(Table19[[#This Row],[Date]],Table3[[#All],[Date]:[Sunset Time (POA&lt;20 W/m2)]],3,0),"")</f>
        <v>0.25</v>
      </c>
      <c r="J40" s="106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0" t="s">
        <v>304</v>
      </c>
      <c r="M40" s="7">
        <f>VLOOKUP(Table19[[#This Row],[Affceted Equipment]],'Basic Data'!$A$2:$B$108,2,0)</f>
        <v>8020.9</v>
      </c>
      <c r="N40" s="98" t="s">
        <v>305</v>
      </c>
      <c r="O40" s="98" t="s">
        <v>20</v>
      </c>
      <c r="P40" s="114">
        <f>IFERROR(VLOOKUP(Table19[[#This Row],[Affceted Equipment]],'Basic Data'!$A$2:$C$118,3,0),"")</f>
        <v>1</v>
      </c>
      <c r="Q40" s="100"/>
      <c r="R40" s="56" t="s">
        <v>306</v>
      </c>
      <c r="S40" s="101">
        <v>0.41249999999999998</v>
      </c>
      <c r="T40" s="101"/>
      <c r="U40" s="101"/>
      <c r="V40" s="101">
        <v>0.42222222222222222</v>
      </c>
      <c r="W40" s="72"/>
      <c r="X40" s="52"/>
      <c r="Y40" s="52">
        <f>(Table19[[#This Row],[Work Completiuon time on fualt]]-Table19[[#This Row],[Fault Time]])*24</f>
        <v>0.23333333333333384</v>
      </c>
      <c r="Z40" s="102" t="s">
        <v>4</v>
      </c>
      <c r="AA40" s="100" t="s">
        <v>81</v>
      </c>
      <c r="AB40" s="52">
        <f>IFERROR(Table19[[#This Row],[Plant Equivalent Weightage]]*Table19[[#This Row],[Resolution Time]],"")</f>
        <v>0.23333333333333384</v>
      </c>
      <c r="AC40" s="86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0">
        <f>YEAR(Table19[[#This Row],[Date]])+IF(MONTH(Table19[[#This Row],[Date]])&gt;=4,1,0)</f>
        <v>2026</v>
      </c>
      <c r="C41" s="100">
        <f>YEAR(Table19[[#This Row],[Date]])</f>
        <v>2025</v>
      </c>
      <c r="D41" s="98" t="s">
        <v>1082</v>
      </c>
      <c r="E41" s="98" t="s">
        <v>1082</v>
      </c>
      <c r="F41" s="113" t="str">
        <f>TEXT(Table19[[#This Row],[Date]],"mmm-yy")</f>
        <v>Jun-25</v>
      </c>
      <c r="G41" s="2">
        <f>DAY(EOMONTH(Table19[[#This Row],[Month Year]],0))</f>
        <v>30</v>
      </c>
      <c r="H41" s="99">
        <v>45815</v>
      </c>
      <c r="I41" s="58">
        <f>IFERROR(VLOOKUP(Table19[[#This Row],[Date]],Table3[[#All],[Date]:[Sunset Time (POA&lt;20 W/m2)]],3,0),"")</f>
        <v>0.24444444444444444</v>
      </c>
      <c r="J41" s="106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0" t="s">
        <v>304</v>
      </c>
      <c r="M41" s="7">
        <f>VLOOKUP(Table19[[#This Row],[Affceted Equipment]],'Basic Data'!$A$2:$B$108,2,0)</f>
        <v>8020.9</v>
      </c>
      <c r="N41" s="98" t="s">
        <v>305</v>
      </c>
      <c r="O41" s="98" t="s">
        <v>20</v>
      </c>
      <c r="P41" s="114">
        <f>IFERROR(VLOOKUP(Table19[[#This Row],[Affceted Equipment]],'Basic Data'!$A$2:$C$118,3,0),"")</f>
        <v>1</v>
      </c>
      <c r="Q41" s="100"/>
      <c r="R41" s="56" t="s">
        <v>306</v>
      </c>
      <c r="S41" s="101">
        <v>0.31944444444444442</v>
      </c>
      <c r="T41" s="101"/>
      <c r="U41" s="101"/>
      <c r="V41" s="101">
        <v>0.32500000000000001</v>
      </c>
      <c r="W41" s="72"/>
      <c r="X41" s="52"/>
      <c r="Y41" s="52">
        <f>(Table19[[#This Row],[Work Completiuon time on fualt]]-Table19[[#This Row],[Fault Time]])*24</f>
        <v>0.13333333333333419</v>
      </c>
      <c r="Z41" s="102" t="s">
        <v>4</v>
      </c>
      <c r="AA41" s="100" t="s">
        <v>81</v>
      </c>
      <c r="AB41" s="52">
        <f>IFERROR(Table19[[#This Row],[Plant Equivalent Weightage]]*Table19[[#This Row],[Resolution Time]],"")</f>
        <v>0.13333333333333419</v>
      </c>
      <c r="AC41" s="86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0">
        <f>YEAR(Table19[[#This Row],[Date]])+IF(MONTH(Table19[[#This Row],[Date]])&gt;=4,1,0)</f>
        <v>2026</v>
      </c>
      <c r="C42" s="100">
        <f>YEAR(Table19[[#This Row],[Date]])</f>
        <v>2025</v>
      </c>
      <c r="D42" s="98" t="s">
        <v>1082</v>
      </c>
      <c r="E42" s="98" t="s">
        <v>1082</v>
      </c>
      <c r="F42" s="113" t="str">
        <f>TEXT(Table19[[#This Row],[Date]],"mmm-yy")</f>
        <v>Jun-25</v>
      </c>
      <c r="G42" s="2">
        <f>DAY(EOMONTH(Table19[[#This Row],[Month Year]],0))</f>
        <v>30</v>
      </c>
      <c r="H42" s="99">
        <v>45815</v>
      </c>
      <c r="I42" s="104">
        <f>IFERROR(VLOOKUP(Table19[[#This Row],[Date]],Table3[[#All],[Date]:[Sunset Time (POA&lt;20 W/m2)]],3,0),"")</f>
        <v>0.24444444444444444</v>
      </c>
      <c r="J42" s="106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0" t="s">
        <v>304</v>
      </c>
      <c r="M42" s="7">
        <f>VLOOKUP(Table19[[#This Row],[Affceted Equipment]],'Basic Data'!$A$2:$B$108,2,0)</f>
        <v>8020.9</v>
      </c>
      <c r="N42" s="98" t="s">
        <v>305</v>
      </c>
      <c r="O42" s="98" t="s">
        <v>20</v>
      </c>
      <c r="P42" s="114">
        <f>IFERROR(VLOOKUP(Table19[[#This Row],[Affceted Equipment]],'Basic Data'!$A$2:$C$118,3,0),"")</f>
        <v>1</v>
      </c>
      <c r="Q42" s="100"/>
      <c r="R42" s="56" t="s">
        <v>306</v>
      </c>
      <c r="S42" s="101">
        <v>0.38958333333333334</v>
      </c>
      <c r="T42" s="101"/>
      <c r="U42" s="101"/>
      <c r="V42" s="101">
        <v>0.39374999999999999</v>
      </c>
      <c r="W42" s="72"/>
      <c r="X42" s="52"/>
      <c r="Y42" s="52">
        <f>(Table19[[#This Row],[Work Completiuon time on fualt]]-Table19[[#This Row],[Fault Time]])*24</f>
        <v>9.9999999999999645E-2</v>
      </c>
      <c r="Z42" s="102" t="s">
        <v>4</v>
      </c>
      <c r="AA42" s="100" t="s">
        <v>81</v>
      </c>
      <c r="AB42" s="52">
        <f>IFERROR(Table19[[#This Row],[Plant Equivalent Weightage]]*Table19[[#This Row],[Resolution Time]],"")</f>
        <v>9.9999999999999645E-2</v>
      </c>
      <c r="AC42" s="86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0">
        <f>YEAR(Table19[[#This Row],[Date]])+IF(MONTH(Table19[[#This Row],[Date]])&gt;=4,1,0)</f>
        <v>2026</v>
      </c>
      <c r="C43" s="100">
        <f>YEAR(Table19[[#This Row],[Date]])</f>
        <v>2025</v>
      </c>
      <c r="D43" s="98" t="s">
        <v>1082</v>
      </c>
      <c r="E43" s="98" t="s">
        <v>1082</v>
      </c>
      <c r="F43" s="113" t="str">
        <f>TEXT(Table19[[#This Row],[Date]],"mmm-yy")</f>
        <v>Jun-25</v>
      </c>
      <c r="G43" s="2">
        <f>DAY(EOMONTH(Table19[[#This Row],[Month Year]],0))</f>
        <v>30</v>
      </c>
      <c r="H43" s="99">
        <v>45815</v>
      </c>
      <c r="I43" s="104">
        <f>IFERROR(VLOOKUP(Table19[[#This Row],[Date]],Table3[[#All],[Date]:[Sunset Time (POA&lt;20 W/m2)]],3,0),"")</f>
        <v>0.24444444444444444</v>
      </c>
      <c r="J43" s="106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0" t="s">
        <v>304</v>
      </c>
      <c r="M43" s="7">
        <f>VLOOKUP(Table19[[#This Row],[Affceted Equipment]],'Basic Data'!$A$2:$B$108,2,0)</f>
        <v>8020.9</v>
      </c>
      <c r="N43" s="98" t="s">
        <v>305</v>
      </c>
      <c r="O43" s="98" t="s">
        <v>20</v>
      </c>
      <c r="P43" s="114">
        <f>IFERROR(VLOOKUP(Table19[[#This Row],[Affceted Equipment]],'Basic Data'!$A$2:$C$118,3,0),"")</f>
        <v>1</v>
      </c>
      <c r="Q43" s="100"/>
      <c r="R43" s="56" t="s">
        <v>306</v>
      </c>
      <c r="S43" s="101">
        <v>0.57777777777777772</v>
      </c>
      <c r="T43" s="101"/>
      <c r="U43" s="101"/>
      <c r="V43" s="101">
        <v>0.65138888888888891</v>
      </c>
      <c r="W43" s="72"/>
      <c r="X43" s="52"/>
      <c r="Y43" s="52">
        <f>(Table19[[#This Row],[Work Completiuon time on fualt]]-Table19[[#This Row],[Fault Time]])*24</f>
        <v>1.7666666666666684</v>
      </c>
      <c r="Z43" s="102" t="s">
        <v>4</v>
      </c>
      <c r="AA43" s="100" t="s">
        <v>81</v>
      </c>
      <c r="AB43" s="52">
        <f>IFERROR(Table19[[#This Row],[Plant Equivalent Weightage]]*Table19[[#This Row],[Resolution Time]],"")</f>
        <v>1.7666666666666684</v>
      </c>
      <c r="AC43" s="86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0">
        <f>YEAR(Table19[[#This Row],[Date]])+IF(MONTH(Table19[[#This Row],[Date]])&gt;=4,1,0)</f>
        <v>2026</v>
      </c>
      <c r="C44" s="100">
        <f>YEAR(Table19[[#This Row],[Date]])</f>
        <v>2025</v>
      </c>
      <c r="D44" s="98" t="s">
        <v>1082</v>
      </c>
      <c r="E44" s="98" t="s">
        <v>1082</v>
      </c>
      <c r="F44" s="113" t="str">
        <f>TEXT(Table19[[#This Row],[Date]],"mmm-yy")</f>
        <v>Jun-25</v>
      </c>
      <c r="G44" s="2">
        <f>DAY(EOMONTH(Table19[[#This Row],[Month Year]],0))</f>
        <v>30</v>
      </c>
      <c r="H44" s="99">
        <v>45817</v>
      </c>
      <c r="I44" s="58">
        <f>IFERROR(VLOOKUP(Table19[[#This Row],[Date]],Table3[[#All],[Date]:[Sunset Time (POA&lt;20 W/m2)]],3,0),"")</f>
        <v>0.27916666666666667</v>
      </c>
      <c r="J44" s="106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0" t="s">
        <v>304</v>
      </c>
      <c r="M44" s="7">
        <f>VLOOKUP(Table19[[#This Row],[Affceted Equipment]],'Basic Data'!$A$2:$B$108,2,0)</f>
        <v>8020.9</v>
      </c>
      <c r="N44" s="98" t="s">
        <v>305</v>
      </c>
      <c r="O44" s="98" t="s">
        <v>20</v>
      </c>
      <c r="P44" s="114">
        <f>IFERROR(VLOOKUP(Table19[[#This Row],[Affceted Equipment]],'Basic Data'!$A$2:$C$118,3,0),"")</f>
        <v>1</v>
      </c>
      <c r="Q44" s="100"/>
      <c r="R44" s="56" t="s">
        <v>1203</v>
      </c>
      <c r="S44" s="101">
        <v>0.39930555555555558</v>
      </c>
      <c r="T44" s="101"/>
      <c r="U44" s="101"/>
      <c r="V44" s="101">
        <v>0.52013888888888893</v>
      </c>
      <c r="W44" s="72"/>
      <c r="X44" s="52"/>
      <c r="Y44" s="52">
        <f>(Table19[[#This Row],[Work Completiuon time on fualt]]-Table19[[#This Row],[Fault Time]])*24</f>
        <v>2.9000000000000004</v>
      </c>
      <c r="Z44" s="102" t="s">
        <v>4</v>
      </c>
      <c r="AA44" s="100" t="s">
        <v>81</v>
      </c>
      <c r="AB44" s="52">
        <f>IFERROR(Table19[[#This Row],[Plant Equivalent Weightage]]*Table19[[#This Row],[Resolution Time]],"")</f>
        <v>2.9000000000000004</v>
      </c>
      <c r="AC44" s="86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0">
        <f>YEAR(Table19[[#This Row],[Date]])+IF(MONTH(Table19[[#This Row],[Date]])&gt;=4,1,0)</f>
        <v>2026</v>
      </c>
      <c r="C45" s="100">
        <f>YEAR(Table19[[#This Row],[Date]])</f>
        <v>2025</v>
      </c>
      <c r="D45" s="98" t="s">
        <v>1082</v>
      </c>
      <c r="E45" s="98" t="s">
        <v>1082</v>
      </c>
      <c r="F45" s="113" t="str">
        <f>TEXT(Table19[[#This Row],[Date]],"mmm-yy")</f>
        <v>Jun-25</v>
      </c>
      <c r="G45" s="2">
        <f>DAY(EOMONTH(Table19[[#This Row],[Month Year]],0))</f>
        <v>30</v>
      </c>
      <c r="H45" s="99">
        <v>45817</v>
      </c>
      <c r="I45" s="58">
        <f>IFERROR(VLOOKUP(Table19[[#This Row],[Date]],Table3[[#All],[Date]:[Sunset Time (POA&lt;20 W/m2)]],3,0),"")</f>
        <v>0.27916666666666667</v>
      </c>
      <c r="J45" s="106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0" t="s">
        <v>304</v>
      </c>
      <c r="M45" s="7">
        <f>VLOOKUP(Table19[[#This Row],[Affceted Equipment]],'Basic Data'!$A$2:$B$108,2,0)</f>
        <v>8020.9</v>
      </c>
      <c r="N45" s="98" t="s">
        <v>305</v>
      </c>
      <c r="O45" s="98" t="s">
        <v>20</v>
      </c>
      <c r="P45" s="114">
        <f>IFERROR(VLOOKUP(Table19[[#This Row],[Affceted Equipment]],'Basic Data'!$A$2:$C$118,3,0),"")</f>
        <v>1</v>
      </c>
      <c r="Q45" s="100"/>
      <c r="R45" s="56" t="s">
        <v>306</v>
      </c>
      <c r="S45" s="101">
        <v>0.66527777777777775</v>
      </c>
      <c r="T45" s="101"/>
      <c r="U45" s="101"/>
      <c r="V45" s="101">
        <v>0.67569444444444449</v>
      </c>
      <c r="W45" s="72"/>
      <c r="X45" s="52"/>
      <c r="Y45" s="52">
        <f>(Table19[[#This Row],[Work Completiuon time on fualt]]-Table19[[#This Row],[Fault Time]])*24</f>
        <v>0.25000000000000178</v>
      </c>
      <c r="Z45" s="102" t="s">
        <v>4</v>
      </c>
      <c r="AA45" s="100" t="s">
        <v>81</v>
      </c>
      <c r="AB45" s="52">
        <f>IFERROR(Table19[[#This Row],[Plant Equivalent Weightage]]*Table19[[#This Row],[Resolution Time]],"")</f>
        <v>0.25000000000000178</v>
      </c>
      <c r="AC45" s="86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0">
        <f>YEAR(Table19[[#This Row],[Date]])+IF(MONTH(Table19[[#This Row],[Date]])&gt;=4,1,0)</f>
        <v>2026</v>
      </c>
      <c r="C46" s="100">
        <f>YEAR(Table19[[#This Row],[Date]])</f>
        <v>2025</v>
      </c>
      <c r="D46" s="98" t="s">
        <v>1082</v>
      </c>
      <c r="E46" s="98" t="s">
        <v>1082</v>
      </c>
      <c r="F46" s="113" t="str">
        <f>TEXT(Table19[[#This Row],[Date]],"mmm-yy")</f>
        <v>Jun-25</v>
      </c>
      <c r="G46" s="2">
        <f>DAY(EOMONTH(Table19[[#This Row],[Month Year]],0))</f>
        <v>30</v>
      </c>
      <c r="H46" s="99">
        <v>45822</v>
      </c>
      <c r="I46" s="58">
        <f>IFERROR(VLOOKUP(Table19[[#This Row],[Date]],Table3[[#All],[Date]:[Sunset Time (POA&lt;20 W/m2)]],3,0),"")</f>
        <v>0.24513888888888888</v>
      </c>
      <c r="J46" s="106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0" t="s">
        <v>304</v>
      </c>
      <c r="M46" s="7">
        <f>VLOOKUP(Table19[[#This Row],[Affceted Equipment]],'Basic Data'!$A$2:$B$108,2,0)</f>
        <v>8020.9</v>
      </c>
      <c r="N46" s="98" t="s">
        <v>305</v>
      </c>
      <c r="O46" s="98" t="s">
        <v>20</v>
      </c>
      <c r="P46" s="114">
        <f>IFERROR(VLOOKUP(Table19[[#This Row],[Affceted Equipment]],'Basic Data'!$A$2:$C$118,3,0),"")</f>
        <v>1</v>
      </c>
      <c r="Q46" s="100"/>
      <c r="R46" s="56" t="s">
        <v>1204</v>
      </c>
      <c r="S46" s="101">
        <v>0.62638888888888888</v>
      </c>
      <c r="T46" s="101"/>
      <c r="U46" s="101"/>
      <c r="V46" s="101">
        <v>0.80833333333333335</v>
      </c>
      <c r="W46" s="72"/>
      <c r="X46" s="52"/>
      <c r="Y46" s="52">
        <f>(Table19[[#This Row],[Work Completiuon time on fualt]]-Table19[[#This Row],[Fault Time]])*24</f>
        <v>4.3666666666666671</v>
      </c>
      <c r="Z46" s="102" t="s">
        <v>4</v>
      </c>
      <c r="AA46" s="100" t="s">
        <v>81</v>
      </c>
      <c r="AB46" s="52">
        <f>IFERROR(Table19[[#This Row],[Plant Equivalent Weightage]]*Table19[[#This Row],[Resolution Time]],"")</f>
        <v>4.3666666666666671</v>
      </c>
      <c r="AC46" s="86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0">
        <f>YEAR(Table19[[#This Row],[Date]])+IF(MONTH(Table19[[#This Row],[Date]])&gt;=4,1,0)</f>
        <v>2026</v>
      </c>
      <c r="C47" s="100">
        <f>YEAR(Table19[[#This Row],[Date]])</f>
        <v>2025</v>
      </c>
      <c r="D47" s="98" t="s">
        <v>1082</v>
      </c>
      <c r="E47" s="98" t="s">
        <v>1082</v>
      </c>
      <c r="F47" s="113" t="str">
        <f>TEXT(Table19[[#This Row],[Date]],"mmm-yy")</f>
        <v>Jun-25</v>
      </c>
      <c r="G47" s="2">
        <f>DAY(EOMONTH(Table19[[#This Row],[Month Year]],0))</f>
        <v>30</v>
      </c>
      <c r="H47" s="99">
        <v>45825</v>
      </c>
      <c r="I47" s="104">
        <f>IFERROR(VLOOKUP(Table19[[#This Row],[Date]],Table3[[#All],[Date]:[Sunset Time (POA&lt;20 W/m2)]],3,0),"")</f>
        <v>0.25277777777777777</v>
      </c>
      <c r="J47" s="106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0" t="s">
        <v>304</v>
      </c>
      <c r="M47" s="7">
        <f>VLOOKUP(Table19[[#This Row],[Affceted Equipment]],'Basic Data'!$A$2:$B$108,2,0)</f>
        <v>8020.9</v>
      </c>
      <c r="N47" s="98" t="s">
        <v>305</v>
      </c>
      <c r="O47" s="98" t="s">
        <v>20</v>
      </c>
      <c r="P47" s="114">
        <f>IFERROR(VLOOKUP(Table19[[#This Row],[Affceted Equipment]],'Basic Data'!$A$2:$C$118,3,0),"")</f>
        <v>1</v>
      </c>
      <c r="Q47" s="100"/>
      <c r="R47" s="56" t="s">
        <v>306</v>
      </c>
      <c r="S47" s="101">
        <v>0.25694444444444442</v>
      </c>
      <c r="T47" s="101"/>
      <c r="U47" s="101"/>
      <c r="V47" s="101">
        <v>0.29305555555555557</v>
      </c>
      <c r="W47" s="72"/>
      <c r="X47" s="52"/>
      <c r="Y47" s="52">
        <f>(Table19[[#This Row],[Work Completiuon time on fualt]]-Table19[[#This Row],[Fault Time]])*24</f>
        <v>0.86666666666666758</v>
      </c>
      <c r="Z47" s="102" t="s">
        <v>4</v>
      </c>
      <c r="AA47" s="100" t="s">
        <v>81</v>
      </c>
      <c r="AB47" s="52">
        <f>IFERROR(Table19[[#This Row],[Plant Equivalent Weightage]]*Table19[[#This Row],[Resolution Time]],"")</f>
        <v>0.86666666666666758</v>
      </c>
      <c r="AC47" s="86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0">
        <f>YEAR(Table19[[#This Row],[Date]])+IF(MONTH(Table19[[#This Row],[Date]])&gt;=4,1,0)</f>
        <v>2026</v>
      </c>
      <c r="C48" s="100">
        <f>YEAR(Table19[[#This Row],[Date]])</f>
        <v>2025</v>
      </c>
      <c r="D48" s="98" t="s">
        <v>1082</v>
      </c>
      <c r="E48" s="98" t="s">
        <v>1082</v>
      </c>
      <c r="F48" s="113" t="str">
        <f>TEXT(Table19[[#This Row],[Date]],"mmm-yy")</f>
        <v>Jun-25</v>
      </c>
      <c r="G48" s="2">
        <f>DAY(EOMONTH(Table19[[#This Row],[Month Year]],0))</f>
        <v>30</v>
      </c>
      <c r="H48" s="99">
        <v>45825</v>
      </c>
      <c r="I48" s="104">
        <f>IFERROR(VLOOKUP(Table19[[#This Row],[Date]],Table3[[#All],[Date]:[Sunset Time (POA&lt;20 W/m2)]],3,0),"")</f>
        <v>0.25277777777777777</v>
      </c>
      <c r="J48" s="106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0" t="s">
        <v>304</v>
      </c>
      <c r="M48" s="7">
        <f>VLOOKUP(Table19[[#This Row],[Affceted Equipment]],'Basic Data'!$A$2:$B$108,2,0)</f>
        <v>8020.9</v>
      </c>
      <c r="N48" s="98" t="s">
        <v>305</v>
      </c>
      <c r="O48" s="98" t="s">
        <v>20</v>
      </c>
      <c r="P48" s="114">
        <f>IFERROR(VLOOKUP(Table19[[#This Row],[Affceted Equipment]],'Basic Data'!$A$2:$C$118,3,0),"")</f>
        <v>1</v>
      </c>
      <c r="Q48" s="100"/>
      <c r="R48" s="56" t="s">
        <v>306</v>
      </c>
      <c r="S48" s="101">
        <v>0.5131944444444444</v>
      </c>
      <c r="T48" s="101"/>
      <c r="U48" s="101"/>
      <c r="V48" s="101">
        <v>0.53194444444444444</v>
      </c>
      <c r="W48" s="72"/>
      <c r="X48" s="52"/>
      <c r="Y48" s="52">
        <f>(Table19[[#This Row],[Work Completiuon time on fualt]]-Table19[[#This Row],[Fault Time]])*24</f>
        <v>0.45000000000000107</v>
      </c>
      <c r="Z48" s="102" t="s">
        <v>4</v>
      </c>
      <c r="AA48" s="100" t="s">
        <v>81</v>
      </c>
      <c r="AB48" s="52">
        <f>IFERROR(Table19[[#This Row],[Plant Equivalent Weightage]]*Table19[[#This Row],[Resolution Time]],"")</f>
        <v>0.45000000000000107</v>
      </c>
      <c r="AC48" s="86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0">
        <f>YEAR(Table19[[#This Row],[Date]])+IF(MONTH(Table19[[#This Row],[Date]])&gt;=4,1,0)</f>
        <v>2026</v>
      </c>
      <c r="C49" s="100">
        <f>YEAR(Table19[[#This Row],[Date]])</f>
        <v>2025</v>
      </c>
      <c r="D49" s="98" t="s">
        <v>1082</v>
      </c>
      <c r="E49" s="98" t="s">
        <v>1082</v>
      </c>
      <c r="F49" s="113" t="str">
        <f>TEXT(Table19[[#This Row],[Date]],"mmm-yy")</f>
        <v>Jun-25</v>
      </c>
      <c r="G49" s="2">
        <f>DAY(EOMONTH(Table19[[#This Row],[Month Year]],0))</f>
        <v>30</v>
      </c>
      <c r="H49" s="99">
        <v>45825</v>
      </c>
      <c r="I49" s="58">
        <f>IFERROR(VLOOKUP(Table19[[#This Row],[Date]],Table3[[#All],[Date]:[Sunset Time (POA&lt;20 W/m2)]],3,0),"")</f>
        <v>0.25277777777777777</v>
      </c>
      <c r="J49" s="106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0" t="s">
        <v>304</v>
      </c>
      <c r="M49" s="7">
        <f>VLOOKUP(Table19[[#This Row],[Affceted Equipment]],'Basic Data'!$A$2:$B$108,2,0)</f>
        <v>8020.9</v>
      </c>
      <c r="N49" s="98" t="s">
        <v>305</v>
      </c>
      <c r="O49" s="98" t="s">
        <v>20</v>
      </c>
      <c r="P49" s="114">
        <f>IFERROR(VLOOKUP(Table19[[#This Row],[Affceted Equipment]],'Basic Data'!$A$2:$C$118,3,0),"")</f>
        <v>1</v>
      </c>
      <c r="Q49" s="100"/>
      <c r="R49" s="56" t="s">
        <v>306</v>
      </c>
      <c r="S49" s="101">
        <v>0.62777777777777777</v>
      </c>
      <c r="T49" s="101"/>
      <c r="U49" s="101"/>
      <c r="V49" s="101">
        <v>0.63611111111111107</v>
      </c>
      <c r="W49" s="72"/>
      <c r="X49" s="52"/>
      <c r="Y49" s="52">
        <f>(Table19[[#This Row],[Work Completiuon time on fualt]]-Table19[[#This Row],[Fault Time]])*24</f>
        <v>0.19999999999999929</v>
      </c>
      <c r="Z49" s="102" t="s">
        <v>4</v>
      </c>
      <c r="AA49" s="100" t="s">
        <v>81</v>
      </c>
      <c r="AB49" s="52">
        <f>IFERROR(Table19[[#This Row],[Plant Equivalent Weightage]]*Table19[[#This Row],[Resolution Time]],"")</f>
        <v>0.19999999999999929</v>
      </c>
      <c r="AC49" s="86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0">
        <f>YEAR(Table19[[#This Row],[Date]])+IF(MONTH(Table19[[#This Row],[Date]])&gt;=4,1,0)</f>
        <v>2026</v>
      </c>
      <c r="C50" s="100">
        <f>YEAR(Table19[[#This Row],[Date]])</f>
        <v>2025</v>
      </c>
      <c r="D50" s="98" t="s">
        <v>1082</v>
      </c>
      <c r="E50" s="98" t="s">
        <v>1082</v>
      </c>
      <c r="F50" s="113" t="str">
        <f>TEXT(Table19[[#This Row],[Date]],"mmm-yy")</f>
        <v>Jun-25</v>
      </c>
      <c r="G50" s="2">
        <f>DAY(EOMONTH(Table19[[#This Row],[Month Year]],0))</f>
        <v>30</v>
      </c>
      <c r="H50" s="99">
        <v>45826</v>
      </c>
      <c r="I50" s="58">
        <f>IFERROR(VLOOKUP(Table19[[#This Row],[Date]],Table3[[#All],[Date]:[Sunset Time (POA&lt;20 W/m2)]],3,0),"")</f>
        <v>0.24930555555555556</v>
      </c>
      <c r="J50" s="106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0" t="s">
        <v>304</v>
      </c>
      <c r="M50" s="7">
        <f>VLOOKUP(Table19[[#This Row],[Affceted Equipment]],'Basic Data'!$A$2:$B$108,2,0)</f>
        <v>8020.9</v>
      </c>
      <c r="N50" s="98" t="s">
        <v>305</v>
      </c>
      <c r="O50" s="98" t="s">
        <v>20</v>
      </c>
      <c r="P50" s="114">
        <f>IFERROR(VLOOKUP(Table19[[#This Row],[Affceted Equipment]],'Basic Data'!$A$2:$C$118,3,0),"")</f>
        <v>1</v>
      </c>
      <c r="Q50" s="100"/>
      <c r="R50" s="56" t="s">
        <v>306</v>
      </c>
      <c r="S50" s="101">
        <v>0.72291666666666665</v>
      </c>
      <c r="T50" s="101"/>
      <c r="U50" s="101"/>
      <c r="V50" s="101">
        <v>0.79513888888888884</v>
      </c>
      <c r="W50" s="72"/>
      <c r="X50" s="52"/>
      <c r="Y50" s="52">
        <f>(Table19[[#This Row],[Work Completiuon time on fualt]]-Table19[[#This Row],[Fault Time]])*24</f>
        <v>1.7333333333333325</v>
      </c>
      <c r="Z50" s="102" t="s">
        <v>4</v>
      </c>
      <c r="AA50" s="100" t="s">
        <v>81</v>
      </c>
      <c r="AB50" s="52">
        <f>IFERROR(Table19[[#This Row],[Plant Equivalent Weightage]]*Table19[[#This Row],[Resolution Time]],"")</f>
        <v>1.7333333333333325</v>
      </c>
      <c r="AC50" s="86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0">
        <f>YEAR(Table19[[#This Row],[Date]])+IF(MONTH(Table19[[#This Row],[Date]])&gt;=4,1,0)</f>
        <v>2026</v>
      </c>
      <c r="C51" s="100">
        <f>YEAR(Table19[[#This Row],[Date]])</f>
        <v>2025</v>
      </c>
      <c r="D51" s="98" t="s">
        <v>1082</v>
      </c>
      <c r="E51" s="98" t="s">
        <v>1082</v>
      </c>
      <c r="F51" s="113" t="str">
        <f>TEXT(Table19[[#This Row],[Date]],"mmm-yy")</f>
        <v>Jun-25</v>
      </c>
      <c r="G51" s="2">
        <f>DAY(EOMONTH(Table19[[#This Row],[Month Year]],0))</f>
        <v>30</v>
      </c>
      <c r="H51" s="99">
        <v>45827</v>
      </c>
      <c r="I51" s="58">
        <f>IFERROR(VLOOKUP(Table19[[#This Row],[Date]],Table3[[#All],[Date]:[Sunset Time (POA&lt;20 W/m2)]],3,0),"")</f>
        <v>0.24513888888888888</v>
      </c>
      <c r="J51" s="106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0" t="s">
        <v>304</v>
      </c>
      <c r="M51" s="7">
        <f>VLOOKUP(Table19[[#This Row],[Affceted Equipment]],'Basic Data'!$A$2:$B$108,2,0)</f>
        <v>8020.9</v>
      </c>
      <c r="N51" s="98" t="s">
        <v>305</v>
      </c>
      <c r="O51" s="98" t="s">
        <v>20</v>
      </c>
      <c r="P51" s="114">
        <f>IFERROR(VLOOKUP(Table19[[#This Row],[Affceted Equipment]],'Basic Data'!$A$2:$C$118,3,0),"")</f>
        <v>1</v>
      </c>
      <c r="Q51" s="100"/>
      <c r="R51" s="56" t="s">
        <v>306</v>
      </c>
      <c r="S51" s="101">
        <v>0.47708333333333336</v>
      </c>
      <c r="T51" s="101"/>
      <c r="U51" s="101"/>
      <c r="V51" s="101">
        <v>0.53541666666666665</v>
      </c>
      <c r="W51" s="72"/>
      <c r="X51" s="52"/>
      <c r="Y51" s="52">
        <f>(Table19[[#This Row],[Work Completiuon time on fualt]]-Table19[[#This Row],[Fault Time]])*24</f>
        <v>1.399999999999999</v>
      </c>
      <c r="Z51" s="102" t="s">
        <v>4</v>
      </c>
      <c r="AA51" s="100" t="s">
        <v>81</v>
      </c>
      <c r="AB51" s="52">
        <f>IFERROR(Table19[[#This Row],[Plant Equivalent Weightage]]*Table19[[#This Row],[Resolution Time]],"")</f>
        <v>1.399999999999999</v>
      </c>
      <c r="AC51" s="86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0">
        <f>YEAR(Table19[[#This Row],[Date]])+IF(MONTH(Table19[[#This Row],[Date]])&gt;=4,1,0)</f>
        <v>2026</v>
      </c>
      <c r="C52" s="100">
        <f>YEAR(Table19[[#This Row],[Date]])</f>
        <v>2025</v>
      </c>
      <c r="D52" s="98" t="s">
        <v>1082</v>
      </c>
      <c r="E52" s="98" t="s">
        <v>1082</v>
      </c>
      <c r="F52" s="113" t="str">
        <f>TEXT(Table19[[#This Row],[Date]],"mmm-yy")</f>
        <v>Jun-25</v>
      </c>
      <c r="G52" s="2">
        <f>DAY(EOMONTH(Table19[[#This Row],[Month Year]],0))</f>
        <v>30</v>
      </c>
      <c r="H52" s="99">
        <v>45832</v>
      </c>
      <c r="I52" s="58">
        <f>IFERROR(VLOOKUP(Table19[[#This Row],[Date]],Table3[[#All],[Date]:[Sunset Time (POA&lt;20 W/m2)]],3,0),"")</f>
        <v>0.25</v>
      </c>
      <c r="J52" s="106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0" t="s">
        <v>304</v>
      </c>
      <c r="M52" s="7">
        <f>VLOOKUP(Table19[[#This Row],[Affceted Equipment]],'Basic Data'!$A$2:$B$108,2,0)</f>
        <v>8020.9</v>
      </c>
      <c r="N52" s="98" t="s">
        <v>305</v>
      </c>
      <c r="O52" s="98" t="s">
        <v>20</v>
      </c>
      <c r="P52" s="114">
        <f>IFERROR(VLOOKUP(Table19[[#This Row],[Affceted Equipment]],'Basic Data'!$A$2:$C$118,3,0),"")</f>
        <v>1</v>
      </c>
      <c r="Q52" s="100"/>
      <c r="R52" s="56" t="s">
        <v>1205</v>
      </c>
      <c r="S52" s="101">
        <v>0.57777777777777772</v>
      </c>
      <c r="T52" s="101"/>
      <c r="U52" s="101"/>
      <c r="V52" s="101">
        <v>0.67847222222222225</v>
      </c>
      <c r="W52" s="72"/>
      <c r="X52" s="52"/>
      <c r="Y52" s="52">
        <f>(Table19[[#This Row],[Work Completiuon time on fualt]]-Table19[[#This Row],[Fault Time]])*24</f>
        <v>2.4166666666666687</v>
      </c>
      <c r="Z52" s="102" t="s">
        <v>4</v>
      </c>
      <c r="AA52" s="100" t="s">
        <v>81</v>
      </c>
      <c r="AB52" s="52">
        <f>IFERROR(Table19[[#This Row],[Plant Equivalent Weightage]]*Table19[[#This Row],[Resolution Time]],"")</f>
        <v>2.4166666666666687</v>
      </c>
      <c r="AC52" s="86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0">
        <f>YEAR(Table19[[#This Row],[Date]])+IF(MONTH(Table19[[#This Row],[Date]])&gt;=4,1,0)</f>
        <v>2026</v>
      </c>
      <c r="C53" s="100">
        <f>YEAR(Table19[[#This Row],[Date]])</f>
        <v>2025</v>
      </c>
      <c r="D53" s="98" t="s">
        <v>1082</v>
      </c>
      <c r="E53" s="98" t="s">
        <v>1082</v>
      </c>
      <c r="F53" s="113" t="str">
        <f>TEXT(Table19[[#This Row],[Date]],"mmm-yy")</f>
        <v>Jun-25</v>
      </c>
      <c r="G53" s="2">
        <f>DAY(EOMONTH(Table19[[#This Row],[Month Year]],0))</f>
        <v>30</v>
      </c>
      <c r="H53" s="99">
        <v>45833</v>
      </c>
      <c r="I53" s="58">
        <f>IFERROR(VLOOKUP(Table19[[#This Row],[Date]],Table3[[#All],[Date]:[Sunset Time (POA&lt;20 W/m2)]],3,0),"")</f>
        <v>0.25277777777777777</v>
      </c>
      <c r="J53" s="106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0" t="s">
        <v>304</v>
      </c>
      <c r="M53" s="7">
        <f>VLOOKUP(Table19[[#This Row],[Affceted Equipment]],'Basic Data'!$A$2:$B$108,2,0)</f>
        <v>8020.9</v>
      </c>
      <c r="N53" s="98" t="s">
        <v>305</v>
      </c>
      <c r="O53" s="98" t="s">
        <v>20</v>
      </c>
      <c r="P53" s="114">
        <f>IFERROR(VLOOKUP(Table19[[#This Row],[Affceted Equipment]],'Basic Data'!$A$2:$C$118,3,0),"")</f>
        <v>1</v>
      </c>
      <c r="Q53" s="100"/>
      <c r="R53" s="56" t="s">
        <v>306</v>
      </c>
      <c r="S53" s="101">
        <v>0.52638888888888891</v>
      </c>
      <c r="T53" s="101"/>
      <c r="U53" s="101"/>
      <c r="V53" s="101">
        <v>0.5395833333333333</v>
      </c>
      <c r="W53" s="72"/>
      <c r="X53" s="52"/>
      <c r="Y53" s="52">
        <f>(Table19[[#This Row],[Work Completiuon time on fualt]]-Table19[[#This Row],[Fault Time]])*24</f>
        <v>0.31666666666666554</v>
      </c>
      <c r="Z53" s="102" t="s">
        <v>4</v>
      </c>
      <c r="AA53" s="100" t="s">
        <v>81</v>
      </c>
      <c r="AB53" s="52">
        <f>IFERROR(Table19[[#This Row],[Plant Equivalent Weightage]]*Table19[[#This Row],[Resolution Time]],"")</f>
        <v>0.31666666666666554</v>
      </c>
      <c r="AC53" s="86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0">
        <f>YEAR(Table19[[#This Row],[Date]])+IF(MONTH(Table19[[#This Row],[Date]])&gt;=4,1,0)</f>
        <v>2026</v>
      </c>
      <c r="C54" s="100">
        <f>YEAR(Table19[[#This Row],[Date]])</f>
        <v>2025</v>
      </c>
      <c r="D54" s="98" t="s">
        <v>1082</v>
      </c>
      <c r="E54" s="98" t="s">
        <v>1082</v>
      </c>
      <c r="F54" s="113" t="str">
        <f>TEXT(Table19[[#This Row],[Date]],"mmm-yy")</f>
        <v>Jun-25</v>
      </c>
      <c r="G54" s="2">
        <f>DAY(EOMONTH(Table19[[#This Row],[Month Year]],0))</f>
        <v>30</v>
      </c>
      <c r="H54" s="99">
        <v>45833</v>
      </c>
      <c r="I54" s="104">
        <f>IFERROR(VLOOKUP(Table19[[#This Row],[Date]],Table3[[#All],[Date]:[Sunset Time (POA&lt;20 W/m2)]],3,0),"")</f>
        <v>0.25277777777777777</v>
      </c>
      <c r="J54" s="106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0" t="s">
        <v>304</v>
      </c>
      <c r="M54" s="7">
        <f>VLOOKUP(Table19[[#This Row],[Affceted Equipment]],'Basic Data'!$A$2:$B$108,2,0)</f>
        <v>8020.9</v>
      </c>
      <c r="N54" s="212" t="s">
        <v>305</v>
      </c>
      <c r="O54" s="212" t="s">
        <v>20</v>
      </c>
      <c r="P54" s="114">
        <f>IFERROR(VLOOKUP(Table19[[#This Row],[Affceted Equipment]],'Basic Data'!$A$2:$C$118,3,0),"")</f>
        <v>1</v>
      </c>
      <c r="Q54" s="100"/>
      <c r="R54" s="213" t="s">
        <v>306</v>
      </c>
      <c r="S54" s="101">
        <v>0.57777777777777772</v>
      </c>
      <c r="T54" s="101"/>
      <c r="U54" s="101"/>
      <c r="V54" s="101">
        <v>0.58263888888888893</v>
      </c>
      <c r="W54" s="72"/>
      <c r="X54" s="52"/>
      <c r="Y54" s="52">
        <f>(Table19[[#This Row],[Work Completiuon time on fualt]]-Table19[[#This Row],[Fault Time]])*24</f>
        <v>0.11666666666666892</v>
      </c>
      <c r="Z54" s="102" t="s">
        <v>4</v>
      </c>
      <c r="AA54" s="100" t="s">
        <v>81</v>
      </c>
      <c r="AB54" s="52">
        <f>IFERROR(Table19[[#This Row],[Plant Equivalent Weightage]]*Table19[[#This Row],[Resolution Time]],"")</f>
        <v>0.11666666666666892</v>
      </c>
      <c r="AC54" s="86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0">
        <f>YEAR(Table19[[#This Row],[Date]])+IF(MONTH(Table19[[#This Row],[Date]])&gt;=4,1,0)</f>
        <v>2026</v>
      </c>
      <c r="C55" s="100">
        <f>YEAR(Table19[[#This Row],[Date]])</f>
        <v>2025</v>
      </c>
      <c r="D55" s="98" t="s">
        <v>1082</v>
      </c>
      <c r="E55" s="98" t="s">
        <v>1082</v>
      </c>
      <c r="F55" s="113" t="str">
        <f>TEXT(Table19[[#This Row],[Date]],"mmm-yy")</f>
        <v>Jun-25</v>
      </c>
      <c r="G55" s="2">
        <f>DAY(EOMONTH(Table19[[#This Row],[Month Year]],0))</f>
        <v>30</v>
      </c>
      <c r="H55" s="99">
        <v>45836</v>
      </c>
      <c r="I55" s="58">
        <f>IFERROR(VLOOKUP(Table19[[#This Row],[Date]],Table3[[#All],[Date]:[Sunset Time (POA&lt;20 W/m2)]],3,0),"")</f>
        <v>0.24930555555555556</v>
      </c>
      <c r="J55" s="106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0" t="s">
        <v>304</v>
      </c>
      <c r="M55" s="7">
        <f>VLOOKUP(Table19[[#This Row],[Affceted Equipment]],'Basic Data'!$A$2:$B$108,2,0)</f>
        <v>8020.9</v>
      </c>
      <c r="N55" s="212" t="s">
        <v>305</v>
      </c>
      <c r="O55" s="212" t="s">
        <v>20</v>
      </c>
      <c r="P55" s="114">
        <f>IFERROR(VLOOKUP(Table19[[#This Row],[Affceted Equipment]],'Basic Data'!$A$2:$C$118,3,0),"")</f>
        <v>1</v>
      </c>
      <c r="Q55" s="100"/>
      <c r="R55" s="213" t="s">
        <v>306</v>
      </c>
      <c r="S55" s="101">
        <v>0.69930555555555551</v>
      </c>
      <c r="T55" s="101"/>
      <c r="U55" s="101"/>
      <c r="V55" s="101">
        <v>0.71111111111111114</v>
      </c>
      <c r="W55" s="72"/>
      <c r="X55" s="52"/>
      <c r="Y55" s="52">
        <f>(Table19[[#This Row],[Work Completiuon time on fualt]]-Table19[[#This Row],[Fault Time]])*24</f>
        <v>0.28333333333333499</v>
      </c>
      <c r="Z55" s="102" t="s">
        <v>4</v>
      </c>
      <c r="AA55" s="100" t="s">
        <v>81</v>
      </c>
      <c r="AB55" s="52">
        <f>IFERROR(Table19[[#This Row],[Plant Equivalent Weightage]]*Table19[[#This Row],[Resolution Time]],"")</f>
        <v>0.28333333333333499</v>
      </c>
      <c r="AC55" s="86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0">
        <f>YEAR(Table19[[#This Row],[Date]])+IF(MONTH(Table19[[#This Row],[Date]])&gt;=4,1,0)</f>
        <v>2026</v>
      </c>
      <c r="C56" s="100">
        <f>YEAR(Table19[[#This Row],[Date]])</f>
        <v>2025</v>
      </c>
      <c r="D56" s="98" t="s">
        <v>1082</v>
      </c>
      <c r="E56" s="98" t="s">
        <v>1082</v>
      </c>
      <c r="F56" s="113" t="str">
        <f>TEXT(Table19[[#This Row],[Date]],"mmm-yy")</f>
        <v>Jul-25</v>
      </c>
      <c r="G56" s="2">
        <f>DAY(EOMONTH(Table19[[#This Row],[Month Year]],0))</f>
        <v>31</v>
      </c>
      <c r="H56" s="99">
        <v>45841</v>
      </c>
      <c r="I56" s="58">
        <f>IFERROR(VLOOKUP(Table19[[#This Row],[Date]],Table3[[#All],[Date]:[Sunset Time (POA&lt;20 W/m2)]],3,0),"")</f>
        <v>0.26944444444444443</v>
      </c>
      <c r="J56" s="106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0" t="s">
        <v>304</v>
      </c>
      <c r="M56" s="7">
        <f>VLOOKUP(Table19[[#This Row],[Affceted Equipment]],'Basic Data'!$A$2:$B$108,2,0)</f>
        <v>8020.9</v>
      </c>
      <c r="N56" s="212" t="s">
        <v>305</v>
      </c>
      <c r="O56" s="212" t="s">
        <v>20</v>
      </c>
      <c r="P56" s="114">
        <f>IFERROR(VLOOKUP(Table19[[#This Row],[Affceted Equipment]],'Basic Data'!$A$2:$C$118,3,0),"")</f>
        <v>1</v>
      </c>
      <c r="Q56" s="100"/>
      <c r="R56" s="213" t="s">
        <v>306</v>
      </c>
      <c r="S56" s="101">
        <v>0.55069444444444449</v>
      </c>
      <c r="T56" s="101"/>
      <c r="U56" s="101"/>
      <c r="V56" s="101">
        <v>0.56319444444444444</v>
      </c>
      <c r="W56" s="72"/>
      <c r="X56" s="52"/>
      <c r="Y56" s="52">
        <f>(Table19[[#This Row],[Work Completiuon time on fualt]]-Table19[[#This Row],[Fault Time]])*24</f>
        <v>0.29999999999999893</v>
      </c>
      <c r="Z56" s="102" t="s">
        <v>4</v>
      </c>
      <c r="AA56" s="100" t="s">
        <v>81</v>
      </c>
      <c r="AB56" s="52">
        <f>IFERROR(Table19[[#This Row],[Plant Equivalent Weightage]]*Table19[[#This Row],[Resolution Time]],"")</f>
        <v>0.29999999999999893</v>
      </c>
      <c r="AC56" s="86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0">
        <f>YEAR(Table19[[#This Row],[Date]])+IF(MONTH(Table19[[#This Row],[Date]])&gt;=4,1,0)</f>
        <v>2026</v>
      </c>
      <c r="C57" s="100">
        <f>YEAR(Table19[[#This Row],[Date]])</f>
        <v>2025</v>
      </c>
      <c r="D57" s="98" t="s">
        <v>1082</v>
      </c>
      <c r="E57" s="98" t="s">
        <v>1082</v>
      </c>
      <c r="F57" s="113" t="str">
        <f>TEXT(Table19[[#This Row],[Date]],"mmm-yy")</f>
        <v>Jul-25</v>
      </c>
      <c r="G57" s="2">
        <f>DAY(EOMONTH(Table19[[#This Row],[Month Year]],0))</f>
        <v>31</v>
      </c>
      <c r="H57" s="99">
        <v>45844</v>
      </c>
      <c r="I57" s="58">
        <f>IFERROR(VLOOKUP(Table19[[#This Row],[Date]],Table3[[#All],[Date]:[Sunset Time (POA&lt;20 W/m2)]],3,0),"")</f>
        <v>0.25486111111111109</v>
      </c>
      <c r="J57" s="106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0" t="s">
        <v>304</v>
      </c>
      <c r="M57" s="7">
        <f>VLOOKUP(Table19[[#This Row],[Affceted Equipment]],'Basic Data'!$A$2:$B$108,2,0)</f>
        <v>8020.9</v>
      </c>
      <c r="N57" s="212" t="s">
        <v>305</v>
      </c>
      <c r="O57" s="212" t="s">
        <v>20</v>
      </c>
      <c r="P57" s="114">
        <f>IFERROR(VLOOKUP(Table19[[#This Row],[Affceted Equipment]],'Basic Data'!$A$2:$C$118,3,0),"")</f>
        <v>1</v>
      </c>
      <c r="Q57" s="100"/>
      <c r="R57" s="213" t="s">
        <v>306</v>
      </c>
      <c r="S57" s="101">
        <v>0.41041666666666665</v>
      </c>
      <c r="T57" s="101"/>
      <c r="U57" s="101"/>
      <c r="V57" s="101">
        <v>0.41736111111111113</v>
      </c>
      <c r="W57" s="72"/>
      <c r="X57" s="52"/>
      <c r="Y57" s="52">
        <f>(Table19[[#This Row],[Work Completiuon time on fualt]]-Table19[[#This Row],[Fault Time]])*24</f>
        <v>0.16666666666666741</v>
      </c>
      <c r="Z57" s="102" t="s">
        <v>4</v>
      </c>
      <c r="AA57" s="100" t="s">
        <v>81</v>
      </c>
      <c r="AB57" s="52">
        <f>IFERROR(Table19[[#This Row],[Plant Equivalent Weightage]]*Table19[[#This Row],[Resolution Time]],"")</f>
        <v>0.16666666666666741</v>
      </c>
      <c r="AC57" s="86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0">
        <f>YEAR(Table19[[#This Row],[Date]])+IF(MONTH(Table19[[#This Row],[Date]])&gt;=4,1,0)</f>
        <v>2026</v>
      </c>
      <c r="C58" s="100">
        <f>YEAR(Table19[[#This Row],[Date]])</f>
        <v>2025</v>
      </c>
      <c r="D58" s="98" t="s">
        <v>1082</v>
      </c>
      <c r="E58" s="98" t="s">
        <v>1082</v>
      </c>
      <c r="F58" s="113" t="str">
        <f>TEXT(Table19[[#This Row],[Date]],"mmm-yy")</f>
        <v>Jul-25</v>
      </c>
      <c r="G58" s="2">
        <f>DAY(EOMONTH(Table19[[#This Row],[Month Year]],0))</f>
        <v>31</v>
      </c>
      <c r="H58" s="99">
        <v>45849</v>
      </c>
      <c r="I58" s="58">
        <f>IFERROR(VLOOKUP(Table19[[#This Row],[Date]],Table3[[#All],[Date]:[Sunset Time (POA&lt;20 W/m2)]],3,0),"")</f>
        <v>0.25208333333333333</v>
      </c>
      <c r="J58" s="106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0" t="s">
        <v>304</v>
      </c>
      <c r="M58" s="7">
        <f>VLOOKUP(Table19[[#This Row],[Affceted Equipment]],'Basic Data'!$A$2:$B$108,2,0)</f>
        <v>8020.9</v>
      </c>
      <c r="N58" s="212" t="s">
        <v>305</v>
      </c>
      <c r="O58" s="212" t="s">
        <v>20</v>
      </c>
      <c r="P58" s="114">
        <f>IFERROR(VLOOKUP(Table19[[#This Row],[Affceted Equipment]],'Basic Data'!$A$2:$C$118,3,0),"")</f>
        <v>1</v>
      </c>
      <c r="Q58" s="100"/>
      <c r="R58" s="213" t="s">
        <v>306</v>
      </c>
      <c r="S58" s="101">
        <v>0.55000000000000004</v>
      </c>
      <c r="T58" s="101"/>
      <c r="U58" s="101"/>
      <c r="V58" s="101">
        <v>0.55625000000000002</v>
      </c>
      <c r="W58" s="72"/>
      <c r="X58" s="52"/>
      <c r="Y58" s="52">
        <f>(Table19[[#This Row],[Work Completiuon time on fualt]]-Table19[[#This Row],[Fault Time]])*24</f>
        <v>0.14999999999999947</v>
      </c>
      <c r="Z58" s="102" t="s">
        <v>4</v>
      </c>
      <c r="AA58" s="100" t="s">
        <v>81</v>
      </c>
      <c r="AB58" s="52">
        <f>IFERROR(Table19[[#This Row],[Plant Equivalent Weightage]]*Table19[[#This Row],[Resolution Time]],"")</f>
        <v>0.14999999999999947</v>
      </c>
      <c r="AC58" s="86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0">
        <f>YEAR(Table19[[#This Row],[Date]])+IF(MONTH(Table19[[#This Row],[Date]])&gt;=4,1,0)</f>
        <v>2026</v>
      </c>
      <c r="C59" s="100">
        <f>YEAR(Table19[[#This Row],[Date]])</f>
        <v>2025</v>
      </c>
      <c r="D59" s="98" t="s">
        <v>1082</v>
      </c>
      <c r="E59" s="98" t="s">
        <v>1082</v>
      </c>
      <c r="F59" s="113" t="str">
        <f>TEXT(Table19[[#This Row],[Date]],"mmm-yy")</f>
        <v>Jul-25</v>
      </c>
      <c r="G59" s="2">
        <f>DAY(EOMONTH(Table19[[#This Row],[Month Year]],0))</f>
        <v>31</v>
      </c>
      <c r="H59" s="99">
        <v>45850</v>
      </c>
      <c r="I59" s="58">
        <f>IFERROR(VLOOKUP(Table19[[#This Row],[Date]],Table3[[#All],[Date]:[Sunset Time (POA&lt;20 W/m2)]],3,0),"")</f>
        <v>0.25555555555555554</v>
      </c>
      <c r="J59" s="106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0" t="s">
        <v>304</v>
      </c>
      <c r="M59" s="7">
        <f>VLOOKUP(Table19[[#This Row],[Affceted Equipment]],'Basic Data'!$A$2:$B$108,2,0)</f>
        <v>8020.9</v>
      </c>
      <c r="N59" s="212" t="s">
        <v>305</v>
      </c>
      <c r="O59" s="212" t="s">
        <v>20</v>
      </c>
      <c r="P59" s="114">
        <f>IFERROR(VLOOKUP(Table19[[#This Row],[Affceted Equipment]],'Basic Data'!$A$2:$C$118,3,0),"")</f>
        <v>1</v>
      </c>
      <c r="Q59" s="100"/>
      <c r="R59" s="213" t="s">
        <v>306</v>
      </c>
      <c r="S59" s="101">
        <v>0.5493055555555556</v>
      </c>
      <c r="T59" s="101"/>
      <c r="U59" s="101"/>
      <c r="V59" s="101">
        <v>0.57291666666666663</v>
      </c>
      <c r="W59" s="72"/>
      <c r="X59" s="52"/>
      <c r="Y59" s="52">
        <f>(Table19[[#This Row],[Work Completiuon time on fualt]]-Table19[[#This Row],[Fault Time]])*24</f>
        <v>0.56666666666666465</v>
      </c>
      <c r="Z59" s="102" t="s">
        <v>4</v>
      </c>
      <c r="AA59" s="100" t="s">
        <v>81</v>
      </c>
      <c r="AB59" s="52">
        <f>IFERROR(Table19[[#This Row],[Plant Equivalent Weightage]]*Table19[[#This Row],[Resolution Time]],"")</f>
        <v>0.56666666666666465</v>
      </c>
      <c r="AC59" s="86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0">
        <f>YEAR(Table19[[#This Row],[Date]])+IF(MONTH(Table19[[#This Row],[Date]])&gt;=4,1,0)</f>
        <v>2026</v>
      </c>
      <c r="C60" s="100">
        <f>YEAR(Table19[[#This Row],[Date]])</f>
        <v>2025</v>
      </c>
      <c r="D60" s="98" t="s">
        <v>1082</v>
      </c>
      <c r="E60" s="98" t="s">
        <v>1082</v>
      </c>
      <c r="F60" s="113" t="str">
        <f>TEXT(Table19[[#This Row],[Date]],"mmm-yy")</f>
        <v>Jul-25</v>
      </c>
      <c r="G60" s="2">
        <f>DAY(EOMONTH(Table19[[#This Row],[Month Year]],0))</f>
        <v>31</v>
      </c>
      <c r="H60" s="99">
        <v>45854</v>
      </c>
      <c r="I60" s="104">
        <f>IFERROR(VLOOKUP(Table19[[#This Row],[Date]],Table3[[#All],[Date]:[Sunset Time (POA&lt;20 W/m2)]],3,0),"")</f>
        <v>0.25486111111111109</v>
      </c>
      <c r="J60" s="106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0" t="s">
        <v>304</v>
      </c>
      <c r="M60" s="7">
        <f>VLOOKUP(Table19[[#This Row],[Affceted Equipment]],'Basic Data'!$A$2:$B$108,2,0)</f>
        <v>8020.9</v>
      </c>
      <c r="N60" s="212" t="s">
        <v>305</v>
      </c>
      <c r="O60" s="212" t="s">
        <v>20</v>
      </c>
      <c r="P60" s="114">
        <f>IFERROR(VLOOKUP(Table19[[#This Row],[Affceted Equipment]],'Basic Data'!$A$2:$C$118,3,0),"")</f>
        <v>1</v>
      </c>
      <c r="Q60" s="100"/>
      <c r="R60" s="213" t="s">
        <v>306</v>
      </c>
      <c r="S60" s="101">
        <v>0.35833333333333334</v>
      </c>
      <c r="T60" s="101"/>
      <c r="U60" s="101"/>
      <c r="V60" s="101">
        <v>0.37013888888888891</v>
      </c>
      <c r="W60" s="72"/>
      <c r="X60" s="52"/>
      <c r="Y60" s="52">
        <f>(Table19[[#This Row],[Work Completiuon time on fualt]]-Table19[[#This Row],[Fault Time]])*24</f>
        <v>0.28333333333333366</v>
      </c>
      <c r="Z60" s="102" t="s">
        <v>4</v>
      </c>
      <c r="AA60" s="100" t="s">
        <v>81</v>
      </c>
      <c r="AB60" s="52">
        <f>IFERROR(Table19[[#This Row],[Plant Equivalent Weightage]]*Table19[[#This Row],[Resolution Time]],"")</f>
        <v>0.28333333333333366</v>
      </c>
      <c r="AC60" s="86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0">
        <f>YEAR(Table19[[#This Row],[Date]])+IF(MONTH(Table19[[#This Row],[Date]])&gt;=4,1,0)</f>
        <v>2026</v>
      </c>
      <c r="C61" s="100">
        <f>YEAR(Table19[[#This Row],[Date]])</f>
        <v>2025</v>
      </c>
      <c r="D61" s="98" t="s">
        <v>1082</v>
      </c>
      <c r="E61" s="98" t="s">
        <v>1082</v>
      </c>
      <c r="F61" s="113" t="str">
        <f>TEXT(Table19[[#This Row],[Date]],"mmm-yy")</f>
        <v>Jul-25</v>
      </c>
      <c r="G61" s="2">
        <f>DAY(EOMONTH(Table19[[#This Row],[Month Year]],0))</f>
        <v>31</v>
      </c>
      <c r="H61" s="99">
        <v>45855</v>
      </c>
      <c r="I61" s="58">
        <f>IFERROR(VLOOKUP(Table19[[#This Row],[Date]],Table3[[#All],[Date]:[Sunset Time (POA&lt;20 W/m2)]],3,0),"")</f>
        <v>0.25763888888888886</v>
      </c>
      <c r="J61" s="106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0" t="s">
        <v>304</v>
      </c>
      <c r="M61" s="7">
        <f>VLOOKUP(Table19[[#This Row],[Affceted Equipment]],'Basic Data'!$A$2:$B$108,2,0)</f>
        <v>8020.9</v>
      </c>
      <c r="N61" s="212" t="s">
        <v>305</v>
      </c>
      <c r="O61" s="212" t="s">
        <v>20</v>
      </c>
      <c r="P61" s="114">
        <f>IFERROR(VLOOKUP(Table19[[#This Row],[Affceted Equipment]],'Basic Data'!$A$2:$C$118,3,0),"")</f>
        <v>1</v>
      </c>
      <c r="Q61" s="100"/>
      <c r="R61" s="213" t="s">
        <v>306</v>
      </c>
      <c r="S61" s="101">
        <v>0.48333333333333334</v>
      </c>
      <c r="T61" s="101"/>
      <c r="U61" s="101"/>
      <c r="V61" s="101">
        <v>0.54097222222222219</v>
      </c>
      <c r="W61" s="72"/>
      <c r="X61" s="52"/>
      <c r="Y61" s="52">
        <f>(Table19[[#This Row],[Work Completiuon time on fualt]]-Table19[[#This Row],[Fault Time]])*24</f>
        <v>1.3833333333333324</v>
      </c>
      <c r="Z61" s="102" t="s">
        <v>4</v>
      </c>
      <c r="AA61" s="100" t="s">
        <v>81</v>
      </c>
      <c r="AB61" s="52">
        <f>IFERROR(Table19[[#This Row],[Plant Equivalent Weightage]]*Table19[[#This Row],[Resolution Time]],"")</f>
        <v>1.3833333333333324</v>
      </c>
      <c r="AC61" s="86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0">
        <f>YEAR(Table19[[#This Row],[Date]])+IF(MONTH(Table19[[#This Row],[Date]])&gt;=4,1,0)</f>
        <v>2026</v>
      </c>
      <c r="C62" s="100">
        <f>YEAR(Table19[[#This Row],[Date]])</f>
        <v>2025</v>
      </c>
      <c r="D62" s="98" t="s">
        <v>1082</v>
      </c>
      <c r="E62" s="98" t="s">
        <v>1082</v>
      </c>
      <c r="F62" s="113" t="str">
        <f>TEXT(Table19[[#This Row],[Date]],"mmm-yy")</f>
        <v>Jul-25</v>
      </c>
      <c r="G62" s="2">
        <f>DAY(EOMONTH(Table19[[#This Row],[Month Year]],0))</f>
        <v>31</v>
      </c>
      <c r="H62" s="99">
        <v>45855</v>
      </c>
      <c r="I62" s="104">
        <f>IFERROR(VLOOKUP(Table19[[#This Row],[Date]],Table3[[#All],[Date]:[Sunset Time (POA&lt;20 W/m2)]],3,0),"")</f>
        <v>0.25763888888888886</v>
      </c>
      <c r="J62" s="106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0" t="s">
        <v>304</v>
      </c>
      <c r="M62" s="7">
        <f>VLOOKUP(Table19[[#This Row],[Affceted Equipment]],'Basic Data'!$A$2:$B$108,2,0)</f>
        <v>8020.9</v>
      </c>
      <c r="N62" s="212" t="s">
        <v>305</v>
      </c>
      <c r="O62" s="212" t="s">
        <v>20</v>
      </c>
      <c r="P62" s="114">
        <f>IFERROR(VLOOKUP(Table19[[#This Row],[Affceted Equipment]],'Basic Data'!$A$2:$C$118,3,0),"")</f>
        <v>1</v>
      </c>
      <c r="Q62" s="100"/>
      <c r="R62" s="213" t="s">
        <v>306</v>
      </c>
      <c r="S62" s="101">
        <v>0.60763888888888884</v>
      </c>
      <c r="T62" s="101"/>
      <c r="U62" s="101"/>
      <c r="V62" s="101">
        <v>0.61111111111111116</v>
      </c>
      <c r="W62" s="72"/>
      <c r="X62" s="52"/>
      <c r="Y62" s="52">
        <f>(Table19[[#This Row],[Work Completiuon time on fualt]]-Table19[[#This Row],[Fault Time]])*24</f>
        <v>8.3333333333335702E-2</v>
      </c>
      <c r="Z62" s="102" t="s">
        <v>4</v>
      </c>
      <c r="AA62" s="100" t="s">
        <v>81</v>
      </c>
      <c r="AB62" s="52">
        <f>IFERROR(Table19[[#This Row],[Plant Equivalent Weightage]]*Table19[[#This Row],[Resolution Time]],"")</f>
        <v>8.3333333333335702E-2</v>
      </c>
      <c r="AC62" s="86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0">
        <f>YEAR(Table19[[#This Row],[Date]])+IF(MONTH(Table19[[#This Row],[Date]])&gt;=4,1,0)</f>
        <v>2026</v>
      </c>
      <c r="C63" s="100">
        <f>YEAR(Table19[[#This Row],[Date]])</f>
        <v>2025</v>
      </c>
      <c r="D63" s="98" t="s">
        <v>1082</v>
      </c>
      <c r="E63" s="98" t="s">
        <v>1082</v>
      </c>
      <c r="F63" s="113" t="str">
        <f>TEXT(Table19[[#This Row],[Date]],"mmm-yy")</f>
        <v>Jul-25</v>
      </c>
      <c r="G63" s="2">
        <f>DAY(EOMONTH(Table19[[#This Row],[Month Year]],0))</f>
        <v>31</v>
      </c>
      <c r="H63" s="99">
        <v>45855</v>
      </c>
      <c r="I63" s="104">
        <f>IFERROR(VLOOKUP(Table19[[#This Row],[Date]],Table3[[#All],[Date]:[Sunset Time (POA&lt;20 W/m2)]],3,0),"")</f>
        <v>0.25763888888888886</v>
      </c>
      <c r="J63" s="106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0" t="s">
        <v>304</v>
      </c>
      <c r="M63" s="7">
        <f>VLOOKUP(Table19[[#This Row],[Affceted Equipment]],'Basic Data'!$A$2:$B$108,2,0)</f>
        <v>8020.9</v>
      </c>
      <c r="N63" s="212" t="s">
        <v>305</v>
      </c>
      <c r="O63" s="212" t="s">
        <v>20</v>
      </c>
      <c r="P63" s="114">
        <f>IFERROR(VLOOKUP(Table19[[#This Row],[Affceted Equipment]],'Basic Data'!$A$2:$C$118,3,0),"")</f>
        <v>1</v>
      </c>
      <c r="Q63" s="100"/>
      <c r="R63" s="213" t="s">
        <v>306</v>
      </c>
      <c r="S63" s="101">
        <v>0.62916666666666665</v>
      </c>
      <c r="T63" s="101"/>
      <c r="U63" s="101"/>
      <c r="V63" s="101">
        <v>0.63194444444444442</v>
      </c>
      <c r="W63" s="72"/>
      <c r="X63" s="52"/>
      <c r="Y63" s="52">
        <f>(Table19[[#This Row],[Work Completiuon time on fualt]]-Table19[[#This Row],[Fault Time]])*24</f>
        <v>6.666666666666643E-2</v>
      </c>
      <c r="Z63" s="102" t="s">
        <v>4</v>
      </c>
      <c r="AA63" s="100" t="s">
        <v>81</v>
      </c>
      <c r="AB63" s="52">
        <f>IFERROR(Table19[[#This Row],[Plant Equivalent Weightage]]*Table19[[#This Row],[Resolution Time]],"")</f>
        <v>6.666666666666643E-2</v>
      </c>
      <c r="AC63" s="86">
        <v>0.01</v>
      </c>
      <c r="AD63" s="52">
        <f>Table19[[#This Row],[Lost POA (Wh/m2)]]*Table19[[#This Row],[DC Capacity Affceted (kW)]]</f>
        <v>80.209000000000003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21875" bestFit="1" customWidth="1"/>
    <col min="2" max="2" width="10.5546875" bestFit="1" customWidth="1"/>
    <col min="3" max="3" width="12" bestFit="1" customWidth="1"/>
    <col min="4" max="4" width="10" bestFit="1" customWidth="1"/>
    <col min="5" max="5" width="12.77734375" bestFit="1" customWidth="1"/>
    <col min="6" max="6" width="10.2187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77734375" bestFit="1" customWidth="1"/>
    <col min="11" max="22" width="11.5546875" bestFit="1" customWidth="1"/>
    <col min="23" max="23" width="8.21875" style="2" bestFit="1" customWidth="1"/>
    <col min="24" max="24" width="11.77734375" bestFit="1" customWidth="1"/>
    <col min="25" max="25" width="10.77734375" bestFit="1" customWidth="1"/>
    <col min="26" max="26" width="11.21875" bestFit="1" customWidth="1"/>
    <col min="27" max="28" width="10.21875" bestFit="1" customWidth="1"/>
    <col min="29" max="29" width="9.77734375" bestFit="1" customWidth="1"/>
    <col min="30" max="30" width="42.21875" bestFit="1" customWidth="1"/>
  </cols>
  <sheetData>
    <row r="1" spans="1:30" hidden="1" x14ac:dyDescent="0.3"/>
    <row r="2" spans="1:30" s="14" customFormat="1" ht="55.2" x14ac:dyDescent="0.3">
      <c r="A2" s="68" t="s">
        <v>58</v>
      </c>
      <c r="B2" s="68" t="s">
        <v>52</v>
      </c>
      <c r="C2" s="68" t="s">
        <v>53</v>
      </c>
      <c r="D2" s="68" t="s">
        <v>54</v>
      </c>
      <c r="E2" s="68" t="s">
        <v>57</v>
      </c>
      <c r="F2" s="68" t="s">
        <v>40</v>
      </c>
      <c r="G2" s="68" t="s">
        <v>55</v>
      </c>
      <c r="H2" s="71" t="s">
        <v>41</v>
      </c>
      <c r="I2" s="68" t="s">
        <v>141</v>
      </c>
      <c r="J2" s="68" t="s">
        <v>142</v>
      </c>
      <c r="K2" s="68" t="s">
        <v>231</v>
      </c>
      <c r="L2" s="68" t="s">
        <v>232</v>
      </c>
      <c r="M2" s="68" t="s">
        <v>233</v>
      </c>
      <c r="N2" s="68" t="s">
        <v>234</v>
      </c>
      <c r="O2" s="68" t="s">
        <v>235</v>
      </c>
      <c r="P2" s="68" t="s">
        <v>236</v>
      </c>
      <c r="Q2" s="68" t="s">
        <v>237</v>
      </c>
      <c r="R2" s="68" t="s">
        <v>238</v>
      </c>
      <c r="S2" s="68" t="s">
        <v>240</v>
      </c>
      <c r="T2" s="68" t="s">
        <v>241</v>
      </c>
      <c r="U2" s="68" t="s">
        <v>242</v>
      </c>
      <c r="V2" s="68" t="s">
        <v>239</v>
      </c>
      <c r="W2" s="68" t="s">
        <v>320</v>
      </c>
      <c r="X2" s="68" t="s">
        <v>143</v>
      </c>
      <c r="Y2" s="68" t="s">
        <v>144</v>
      </c>
      <c r="Z2" s="68" t="s">
        <v>145</v>
      </c>
      <c r="AA2" s="68" t="s">
        <v>146</v>
      </c>
      <c r="AB2" s="68" t="s">
        <v>147</v>
      </c>
      <c r="AC2" s="68" t="s">
        <v>149</v>
      </c>
      <c r="AD2" s="68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4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4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4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4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4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4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4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4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4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4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4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4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4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4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4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4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4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4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4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4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4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4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4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4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4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4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4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4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4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4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4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4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4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4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4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4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4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4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4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4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4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4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4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4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4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4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4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4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4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4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4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4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4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4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4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4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4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4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4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4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4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4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4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4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4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4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4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4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4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4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4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4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4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4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4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4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4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4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77734375" defaultRowHeight="14.4" x14ac:dyDescent="0.3"/>
  <cols>
    <col min="1" max="4" width="13.44140625" style="7" customWidth="1"/>
    <col min="5" max="5" width="10.77734375" style="7" customWidth="1"/>
    <col min="6" max="7" width="9.21875" style="7"/>
    <col min="8" max="8" width="12.21875" style="7" bestFit="1" customWidth="1"/>
    <col min="9" max="9" width="8.44140625" style="7" customWidth="1"/>
    <col min="10" max="10" width="21.21875" style="7" customWidth="1"/>
    <col min="11" max="12" width="10.5546875" style="7" customWidth="1"/>
    <col min="13" max="13" width="12.5546875" style="7" customWidth="1"/>
    <col min="14" max="14" width="27.21875" style="7" customWidth="1"/>
    <col min="15" max="15" width="46" style="7" bestFit="1" customWidth="1"/>
    <col min="16" max="16" width="19.77734375" style="7" customWidth="1"/>
    <col min="17" max="16384" width="8.7773437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4">
        <v>1</v>
      </c>
      <c r="B3" s="207">
        <f>YEAR(Table911[[#This Row],[Date]])+IF(MONTH(Table911[[#This Row],[Date]])&gt;=4,1,0)</f>
        <v>2026</v>
      </c>
      <c r="C3" s="74">
        <f>YEAR(Table911[[#This Row],[Date]])</f>
        <v>2025</v>
      </c>
      <c r="D3" s="74" t="s">
        <v>1082</v>
      </c>
      <c r="E3" s="7" t="s">
        <v>1082</v>
      </c>
      <c r="F3" s="7" t="str">
        <f>TEXT(Table911[[#This Row],[Date]],"mmm-yy")</f>
        <v>Apr-25</v>
      </c>
      <c r="G3" s="208">
        <f t="shared" ref="G3:G23" si="0">DAY(EOMONTH(F3,0))</f>
        <v>30</v>
      </c>
      <c r="H3" s="206">
        <v>45748</v>
      </c>
      <c r="I3" s="209"/>
      <c r="J3" s="210"/>
      <c r="K3" s="74"/>
      <c r="L3" s="74"/>
      <c r="M3" s="74"/>
      <c r="N3" s="7">
        <f>IFERROR(SUM(Table911[[#This Row],[Inv1]:[Inv3]]),"")</f>
        <v>0</v>
      </c>
      <c r="O3" s="74"/>
    </row>
    <row r="4" spans="1:15" x14ac:dyDescent="0.3">
      <c r="A4" s="74">
        <f>A3+1</f>
        <v>2</v>
      </c>
      <c r="B4" s="207">
        <f>YEAR(Table911[[#This Row],[Date]])+IF(MONTH(Table911[[#This Row],[Date]])&gt;=4,1,0)</f>
        <v>2026</v>
      </c>
      <c r="C4" s="74">
        <f>YEAR(Table911[[#This Row],[Date]])</f>
        <v>2025</v>
      </c>
      <c r="D4" s="74" t="s">
        <v>1082</v>
      </c>
      <c r="E4" s="7" t="s">
        <v>1082</v>
      </c>
      <c r="F4" s="7" t="str">
        <f>TEXT(Table911[[#This Row],[Date]],"mmm-yy")</f>
        <v>Apr-25</v>
      </c>
      <c r="G4" s="208">
        <f t="shared" si="0"/>
        <v>30</v>
      </c>
      <c r="H4" s="206">
        <f t="shared" ref="H4:H13" si="1">H3+1</f>
        <v>45749</v>
      </c>
      <c r="I4" s="209"/>
      <c r="J4" s="210"/>
      <c r="K4" s="74"/>
      <c r="L4" s="74"/>
      <c r="M4" s="74"/>
      <c r="N4" s="7">
        <f>IFERROR(SUM(Table911[[#This Row],[Inv1]:[Inv3]]),"")</f>
        <v>0</v>
      </c>
      <c r="O4" s="74"/>
    </row>
    <row r="5" spans="1:15" x14ac:dyDescent="0.3">
      <c r="A5" s="74">
        <f t="shared" ref="A5:A23" si="2">A4+1</f>
        <v>3</v>
      </c>
      <c r="B5" s="207">
        <f>YEAR(Table911[[#This Row],[Date]])+IF(MONTH(Table911[[#This Row],[Date]])&gt;=4,1,0)</f>
        <v>2026</v>
      </c>
      <c r="C5" s="74">
        <f>YEAR(Table911[[#This Row],[Date]])</f>
        <v>2025</v>
      </c>
      <c r="D5" s="74" t="s">
        <v>1082</v>
      </c>
      <c r="E5" s="7" t="s">
        <v>1082</v>
      </c>
      <c r="F5" s="7" t="str">
        <f>TEXT(Table911[[#This Row],[Date]],"mmm-yy")</f>
        <v>Apr-25</v>
      </c>
      <c r="G5" s="208">
        <f t="shared" si="0"/>
        <v>30</v>
      </c>
      <c r="H5" s="206">
        <f t="shared" si="1"/>
        <v>45750</v>
      </c>
      <c r="I5" s="209"/>
      <c r="J5" s="210"/>
      <c r="K5" s="74"/>
      <c r="L5" s="74"/>
      <c r="M5" s="74"/>
      <c r="N5" s="7">
        <f>IFERROR(SUM(Table911[[#This Row],[Inv1]:[Inv3]]),"")</f>
        <v>0</v>
      </c>
      <c r="O5" s="74"/>
    </row>
    <row r="6" spans="1:15" x14ac:dyDescent="0.3">
      <c r="A6" s="74">
        <f t="shared" si="2"/>
        <v>4</v>
      </c>
      <c r="B6" s="207">
        <f>YEAR(Table911[[#This Row],[Date]])+IF(MONTH(Table911[[#This Row],[Date]])&gt;=4,1,0)</f>
        <v>2026</v>
      </c>
      <c r="C6" s="74">
        <f>YEAR(Table911[[#This Row],[Date]])</f>
        <v>2025</v>
      </c>
      <c r="D6" s="74" t="s">
        <v>1082</v>
      </c>
      <c r="E6" s="7" t="s">
        <v>1082</v>
      </c>
      <c r="F6" s="7" t="str">
        <f>TEXT(Table911[[#This Row],[Date]],"mmm-yy")</f>
        <v>Apr-25</v>
      </c>
      <c r="G6" s="208">
        <f t="shared" si="0"/>
        <v>30</v>
      </c>
      <c r="H6" s="206">
        <f t="shared" si="1"/>
        <v>45751</v>
      </c>
      <c r="I6" s="209"/>
      <c r="J6" s="210"/>
      <c r="K6" s="74"/>
      <c r="L6" s="74"/>
      <c r="M6" s="74"/>
      <c r="N6" s="7">
        <f>IFERROR(SUM(Table911[[#This Row],[Inv1]:[Inv3]]),"")</f>
        <v>0</v>
      </c>
      <c r="O6" s="74"/>
    </row>
    <row r="7" spans="1:15" x14ac:dyDescent="0.3">
      <c r="A7" s="74">
        <f t="shared" si="2"/>
        <v>5</v>
      </c>
      <c r="B7" s="207">
        <f>YEAR(Table911[[#This Row],[Date]])+IF(MONTH(Table911[[#This Row],[Date]])&gt;=4,1,0)</f>
        <v>2026</v>
      </c>
      <c r="C7" s="74">
        <f>YEAR(Table911[[#This Row],[Date]])</f>
        <v>2025</v>
      </c>
      <c r="D7" s="74" t="s">
        <v>1082</v>
      </c>
      <c r="E7" s="7" t="s">
        <v>1082</v>
      </c>
      <c r="F7" s="7" t="str">
        <f>TEXT(Table911[[#This Row],[Date]],"mmm-yy")</f>
        <v>Apr-25</v>
      </c>
      <c r="G7" s="208">
        <f t="shared" si="0"/>
        <v>30</v>
      </c>
      <c r="H7" s="206">
        <f t="shared" si="1"/>
        <v>45752</v>
      </c>
      <c r="I7" s="74"/>
      <c r="J7" s="74"/>
      <c r="K7" s="74"/>
      <c r="L7" s="74"/>
      <c r="M7" s="74"/>
      <c r="N7" s="7">
        <f>IFERROR(SUM(Table911[[#This Row],[Inv1]:[Inv3]]),"")</f>
        <v>0</v>
      </c>
      <c r="O7" s="74"/>
    </row>
    <row r="8" spans="1:15" x14ac:dyDescent="0.3">
      <c r="A8" s="74">
        <f t="shared" si="2"/>
        <v>6</v>
      </c>
      <c r="B8" s="207">
        <f>YEAR(Table911[[#This Row],[Date]])+IF(MONTH(Table911[[#This Row],[Date]])&gt;=4,1,0)</f>
        <v>2026</v>
      </c>
      <c r="C8" s="74">
        <f>YEAR(Table911[[#This Row],[Date]])</f>
        <v>2025</v>
      </c>
      <c r="D8" s="74" t="s">
        <v>1082</v>
      </c>
      <c r="E8" s="7" t="s">
        <v>1082</v>
      </c>
      <c r="F8" s="7" t="str">
        <f>TEXT(Table911[[#This Row],[Date]],"mmm-yy")</f>
        <v>Apr-25</v>
      </c>
      <c r="G8" s="208">
        <f t="shared" si="0"/>
        <v>30</v>
      </c>
      <c r="H8" s="206">
        <f t="shared" si="1"/>
        <v>45753</v>
      </c>
      <c r="I8" s="209"/>
      <c r="J8" s="210"/>
      <c r="K8" s="74"/>
      <c r="L8" s="74"/>
      <c r="M8" s="74"/>
      <c r="N8" s="7">
        <f>IFERROR(SUM(Table911[[#This Row],[Inv1]:[Inv3]]),"")</f>
        <v>0</v>
      </c>
      <c r="O8" s="74"/>
    </row>
    <row r="9" spans="1:15" x14ac:dyDescent="0.3">
      <c r="A9" s="74">
        <f t="shared" si="2"/>
        <v>7</v>
      </c>
      <c r="B9" s="207">
        <f>YEAR(Table911[[#This Row],[Date]])+IF(MONTH(Table911[[#This Row],[Date]])&gt;=4,1,0)</f>
        <v>2026</v>
      </c>
      <c r="C9" s="74">
        <f>YEAR(Table911[[#This Row],[Date]])</f>
        <v>2025</v>
      </c>
      <c r="D9" s="74" t="s">
        <v>1082</v>
      </c>
      <c r="E9" s="7" t="s">
        <v>1082</v>
      </c>
      <c r="F9" s="7" t="str">
        <f>TEXT(Table911[[#This Row],[Date]],"mmm-yy")</f>
        <v>Apr-25</v>
      </c>
      <c r="G9" s="208">
        <f t="shared" si="0"/>
        <v>30</v>
      </c>
      <c r="H9" s="206">
        <f t="shared" si="1"/>
        <v>45754</v>
      </c>
      <c r="I9" s="209"/>
      <c r="J9" s="210"/>
      <c r="K9" s="74"/>
      <c r="L9" s="74"/>
      <c r="M9" s="74"/>
      <c r="N9" s="7">
        <f>IFERROR(SUM(Table911[[#This Row],[Inv1]:[Inv3]]),"")</f>
        <v>0</v>
      </c>
      <c r="O9" s="74"/>
    </row>
    <row r="10" spans="1:15" x14ac:dyDescent="0.3">
      <c r="A10" s="74">
        <f t="shared" si="2"/>
        <v>8</v>
      </c>
      <c r="B10" s="207">
        <f>YEAR(Table911[[#This Row],[Date]])+IF(MONTH(Table911[[#This Row],[Date]])&gt;=4,1,0)</f>
        <v>2026</v>
      </c>
      <c r="C10" s="74">
        <f>YEAR(Table911[[#This Row],[Date]])</f>
        <v>2025</v>
      </c>
      <c r="D10" s="74" t="s">
        <v>1082</v>
      </c>
      <c r="E10" s="7" t="s">
        <v>1082</v>
      </c>
      <c r="F10" s="7" t="str">
        <f>TEXT(Table911[[#This Row],[Date]],"mmm-yy")</f>
        <v>Apr-25</v>
      </c>
      <c r="G10" s="208">
        <f t="shared" si="0"/>
        <v>30</v>
      </c>
      <c r="H10" s="206">
        <f t="shared" si="1"/>
        <v>45755</v>
      </c>
      <c r="I10" s="209"/>
      <c r="J10" s="210"/>
      <c r="K10" s="74"/>
      <c r="L10" s="74"/>
      <c r="M10" s="74"/>
      <c r="N10" s="7">
        <f>IFERROR(SUM(Table911[[#This Row],[Inv1]:[Inv3]]),"")</f>
        <v>0</v>
      </c>
      <c r="O10" s="74"/>
    </row>
    <row r="11" spans="1:15" x14ac:dyDescent="0.3">
      <c r="A11" s="74">
        <f t="shared" si="2"/>
        <v>9</v>
      </c>
      <c r="B11" s="207">
        <f>YEAR(Table911[[#This Row],[Date]])+IF(MONTH(Table911[[#This Row],[Date]])&gt;=4,1,0)</f>
        <v>2026</v>
      </c>
      <c r="C11" s="74">
        <f>YEAR(Table911[[#This Row],[Date]])</f>
        <v>2025</v>
      </c>
      <c r="D11" s="74" t="s">
        <v>1082</v>
      </c>
      <c r="E11" s="7" t="s">
        <v>1082</v>
      </c>
      <c r="F11" s="7" t="str">
        <f>TEXT(Table911[[#This Row],[Date]],"mmm-yy")</f>
        <v>Apr-25</v>
      </c>
      <c r="G11" s="208">
        <f t="shared" si="0"/>
        <v>30</v>
      </c>
      <c r="H11" s="206">
        <f t="shared" si="1"/>
        <v>45756</v>
      </c>
      <c r="I11" s="209"/>
      <c r="J11" s="210"/>
      <c r="K11" s="74"/>
      <c r="L11" s="74"/>
      <c r="M11" s="74"/>
      <c r="N11" s="7">
        <f>IFERROR(SUM(Table911[[#This Row],[Inv1]:[Inv3]]),"")</f>
        <v>0</v>
      </c>
      <c r="O11" s="74"/>
    </row>
    <row r="12" spans="1:15" x14ac:dyDescent="0.3">
      <c r="A12" s="74">
        <f t="shared" si="2"/>
        <v>10</v>
      </c>
      <c r="B12" s="207">
        <f>YEAR(Table911[[#This Row],[Date]])+IF(MONTH(Table911[[#This Row],[Date]])&gt;=4,1,0)</f>
        <v>2026</v>
      </c>
      <c r="C12" s="74">
        <f>YEAR(Table911[[#This Row],[Date]])</f>
        <v>2025</v>
      </c>
      <c r="D12" s="74" t="s">
        <v>1082</v>
      </c>
      <c r="E12" s="7" t="s">
        <v>1082</v>
      </c>
      <c r="F12" s="7" t="str">
        <f>TEXT(Table911[[#This Row],[Date]],"mmm-yy")</f>
        <v>Apr-25</v>
      </c>
      <c r="G12" s="208">
        <f t="shared" si="0"/>
        <v>30</v>
      </c>
      <c r="H12" s="206">
        <f t="shared" si="1"/>
        <v>45757</v>
      </c>
      <c r="I12" s="74"/>
      <c r="J12" s="74"/>
      <c r="K12" s="74"/>
      <c r="L12" s="74"/>
      <c r="M12" s="74"/>
      <c r="N12" s="7">
        <f>IFERROR(SUM(Table911[[#This Row],[Inv1]:[Inv3]]),"")</f>
        <v>0</v>
      </c>
      <c r="O12" s="74"/>
    </row>
    <row r="13" spans="1:15" x14ac:dyDescent="0.3">
      <c r="A13" s="74">
        <f t="shared" si="2"/>
        <v>11</v>
      </c>
      <c r="B13" s="207">
        <f>YEAR(Table911[[#This Row],[Date]])+IF(MONTH(Table911[[#This Row],[Date]])&gt;=4,1,0)</f>
        <v>2026</v>
      </c>
      <c r="C13" s="74">
        <f>YEAR(Table911[[#This Row],[Date]])</f>
        <v>2025</v>
      </c>
      <c r="D13" s="74" t="s">
        <v>1082</v>
      </c>
      <c r="E13" s="7" t="s">
        <v>1082</v>
      </c>
      <c r="F13" s="7" t="str">
        <f>TEXT(Table911[[#This Row],[Date]],"mmm-yy")</f>
        <v>Apr-25</v>
      </c>
      <c r="G13" s="208">
        <f t="shared" si="0"/>
        <v>30</v>
      </c>
      <c r="H13" s="206">
        <f t="shared" si="1"/>
        <v>45758</v>
      </c>
      <c r="I13" s="209"/>
      <c r="J13" s="210"/>
      <c r="K13" s="74"/>
      <c r="L13" s="74"/>
      <c r="M13" s="74"/>
      <c r="N13" s="7">
        <f>IFERROR(SUM(Table911[[#This Row],[Inv1]:[Inv3]]),"")</f>
        <v>0</v>
      </c>
      <c r="O13" s="74"/>
    </row>
    <row r="14" spans="1:15" x14ac:dyDescent="0.3">
      <c r="A14" s="74">
        <f t="shared" si="2"/>
        <v>12</v>
      </c>
      <c r="B14" s="207">
        <f>YEAR(Table911[[#This Row],[Date]])+IF(MONTH(Table911[[#This Row],[Date]])&gt;=4,1,0)</f>
        <v>2026</v>
      </c>
      <c r="C14" s="74">
        <f>YEAR(Table911[[#This Row],[Date]])</f>
        <v>2025</v>
      </c>
      <c r="D14" s="74" t="s">
        <v>1082</v>
      </c>
      <c r="E14" s="7" t="s">
        <v>1082</v>
      </c>
      <c r="F14" s="7" t="str">
        <f>TEXT(Table911[[#This Row],[Date]],"mmm-yy")</f>
        <v>Apr-25</v>
      </c>
      <c r="G14" s="208">
        <f t="shared" si="0"/>
        <v>30</v>
      </c>
      <c r="H14" s="206">
        <f t="shared" ref="H14:H23" si="3">H13+1</f>
        <v>45759</v>
      </c>
      <c r="I14" s="74"/>
      <c r="J14" s="74"/>
      <c r="K14" s="74"/>
      <c r="L14" s="74"/>
      <c r="M14" s="74"/>
      <c r="N14" s="7">
        <f>IFERROR(SUM(Table911[[#This Row],[Inv1]:[Inv3]]),"")</f>
        <v>0</v>
      </c>
      <c r="O14" s="74"/>
    </row>
    <row r="15" spans="1:15" x14ac:dyDescent="0.3">
      <c r="A15" s="74">
        <f t="shared" si="2"/>
        <v>13</v>
      </c>
      <c r="B15" s="207">
        <f>YEAR(Table911[[#This Row],[Date]])+IF(MONTH(Table911[[#This Row],[Date]])&gt;=4,1,0)</f>
        <v>2026</v>
      </c>
      <c r="C15" s="74">
        <f>YEAR(Table911[[#This Row],[Date]])</f>
        <v>2025</v>
      </c>
      <c r="D15" s="74" t="s">
        <v>1082</v>
      </c>
      <c r="E15" s="7" t="s">
        <v>1082</v>
      </c>
      <c r="F15" s="7" t="str">
        <f>TEXT(Table911[[#This Row],[Date]],"mmm-yy")</f>
        <v>Apr-25</v>
      </c>
      <c r="G15" s="208">
        <f t="shared" si="0"/>
        <v>30</v>
      </c>
      <c r="H15" s="206">
        <f t="shared" si="3"/>
        <v>45760</v>
      </c>
      <c r="I15" s="74"/>
      <c r="J15" s="74"/>
      <c r="K15" s="74"/>
      <c r="L15" s="74"/>
      <c r="M15" s="74"/>
      <c r="N15" s="7">
        <f>IFERROR(SUM(Table911[[#This Row],[Inv1]:[Inv3]]),"")</f>
        <v>0</v>
      </c>
      <c r="O15" s="74"/>
    </row>
    <row r="16" spans="1:15" x14ac:dyDescent="0.3">
      <c r="A16" s="74">
        <f t="shared" si="2"/>
        <v>14</v>
      </c>
      <c r="B16" s="207">
        <f>YEAR(Table911[[#This Row],[Date]])+IF(MONTH(Table911[[#This Row],[Date]])&gt;=4,1,0)</f>
        <v>2026</v>
      </c>
      <c r="C16" s="74">
        <f>YEAR(Table911[[#This Row],[Date]])</f>
        <v>2025</v>
      </c>
      <c r="D16" s="74" t="s">
        <v>1082</v>
      </c>
      <c r="E16" s="7" t="s">
        <v>1082</v>
      </c>
      <c r="F16" s="7" t="str">
        <f>TEXT(Table911[[#This Row],[Date]],"mmm-yy")</f>
        <v>Apr-25</v>
      </c>
      <c r="G16" s="208">
        <f t="shared" si="0"/>
        <v>30</v>
      </c>
      <c r="H16" s="206">
        <f t="shared" si="3"/>
        <v>45761</v>
      </c>
      <c r="I16" s="74"/>
      <c r="J16" s="74"/>
      <c r="K16" s="74"/>
      <c r="L16" s="74"/>
      <c r="M16" s="74"/>
      <c r="N16" s="7">
        <f>IFERROR(SUM(Table911[[#This Row],[Inv1]:[Inv3]]),"")</f>
        <v>0</v>
      </c>
      <c r="O16" s="74"/>
    </row>
    <row r="17" spans="1:15" x14ac:dyDescent="0.3">
      <c r="A17" s="74">
        <f t="shared" si="2"/>
        <v>15</v>
      </c>
      <c r="B17" s="207">
        <f>YEAR(Table911[[#This Row],[Date]])+IF(MONTH(Table911[[#This Row],[Date]])&gt;=4,1,0)</f>
        <v>2026</v>
      </c>
      <c r="C17" s="74">
        <f>YEAR(Table911[[#This Row],[Date]])</f>
        <v>2025</v>
      </c>
      <c r="D17" s="74" t="s">
        <v>1082</v>
      </c>
      <c r="E17" s="7" t="s">
        <v>1082</v>
      </c>
      <c r="F17" s="7" t="str">
        <f>TEXT(Table911[[#This Row],[Date]],"mmm-yy")</f>
        <v>Apr-25</v>
      </c>
      <c r="G17" s="208">
        <f t="shared" si="0"/>
        <v>30</v>
      </c>
      <c r="H17" s="206">
        <f t="shared" si="3"/>
        <v>45762</v>
      </c>
      <c r="I17" s="74"/>
      <c r="J17" s="74"/>
      <c r="K17" s="74"/>
      <c r="L17" s="74"/>
      <c r="M17" s="74"/>
      <c r="N17" s="7">
        <f>IFERROR(SUM(Table911[[#This Row],[Inv1]:[Inv3]]),"")</f>
        <v>0</v>
      </c>
      <c r="O17" s="74"/>
    </row>
    <row r="18" spans="1:15" x14ac:dyDescent="0.3">
      <c r="A18" s="74">
        <f t="shared" si="2"/>
        <v>16</v>
      </c>
      <c r="B18" s="207">
        <f>YEAR(Table911[[#This Row],[Date]])+IF(MONTH(Table911[[#This Row],[Date]])&gt;=4,1,0)</f>
        <v>2026</v>
      </c>
      <c r="C18" s="74">
        <f>YEAR(Table911[[#This Row],[Date]])</f>
        <v>2025</v>
      </c>
      <c r="D18" s="74" t="s">
        <v>1082</v>
      </c>
      <c r="E18" s="7" t="s">
        <v>1082</v>
      </c>
      <c r="F18" s="7" t="str">
        <f>TEXT(Table911[[#This Row],[Date]],"mmm-yy")</f>
        <v>Apr-25</v>
      </c>
      <c r="G18" s="208">
        <f t="shared" si="0"/>
        <v>30</v>
      </c>
      <c r="H18" s="206">
        <f t="shared" si="3"/>
        <v>45763</v>
      </c>
      <c r="I18" s="74"/>
      <c r="J18" s="74"/>
      <c r="K18" s="74"/>
      <c r="L18" s="74"/>
      <c r="M18" s="74"/>
      <c r="N18" s="7">
        <f>IFERROR(SUM(Table911[[#This Row],[Inv1]:[Inv3]]),"")</f>
        <v>0</v>
      </c>
      <c r="O18" s="74"/>
    </row>
    <row r="19" spans="1:15" x14ac:dyDescent="0.3">
      <c r="A19" s="74">
        <f t="shared" si="2"/>
        <v>17</v>
      </c>
      <c r="B19" s="207">
        <f>YEAR(Table911[[#This Row],[Date]])+IF(MONTH(Table911[[#This Row],[Date]])&gt;=4,1,0)</f>
        <v>2026</v>
      </c>
      <c r="C19" s="74">
        <f>YEAR(Table911[[#This Row],[Date]])</f>
        <v>2025</v>
      </c>
      <c r="D19" s="74" t="s">
        <v>1082</v>
      </c>
      <c r="E19" s="7" t="s">
        <v>1082</v>
      </c>
      <c r="F19" s="7" t="str">
        <f>TEXT(Table911[[#This Row],[Date]],"mmm-yy")</f>
        <v>Apr-25</v>
      </c>
      <c r="G19" s="208">
        <f t="shared" si="0"/>
        <v>30</v>
      </c>
      <c r="H19" s="206">
        <f t="shared" si="3"/>
        <v>45764</v>
      </c>
      <c r="I19" s="74"/>
      <c r="J19" s="74"/>
      <c r="K19" s="74"/>
      <c r="L19" s="74"/>
      <c r="M19" s="74"/>
      <c r="N19" s="7">
        <f>IFERROR(SUM(Table911[[#This Row],[Inv1]:[Inv3]]),"")</f>
        <v>0</v>
      </c>
      <c r="O19" s="74"/>
    </row>
    <row r="20" spans="1:15" x14ac:dyDescent="0.3">
      <c r="A20" s="74">
        <f t="shared" si="2"/>
        <v>18</v>
      </c>
      <c r="B20" s="207">
        <f>YEAR(Table911[[#This Row],[Date]])+IF(MONTH(Table911[[#This Row],[Date]])&gt;=4,1,0)</f>
        <v>2026</v>
      </c>
      <c r="C20" s="74">
        <f>YEAR(Table911[[#This Row],[Date]])</f>
        <v>2025</v>
      </c>
      <c r="D20" s="74" t="s">
        <v>1082</v>
      </c>
      <c r="E20" s="7" t="s">
        <v>1082</v>
      </c>
      <c r="F20" s="7" t="str">
        <f>TEXT(Table911[[#This Row],[Date]],"mmm-yy")</f>
        <v>Apr-25</v>
      </c>
      <c r="G20" s="208">
        <f t="shared" si="0"/>
        <v>30</v>
      </c>
      <c r="H20" s="206">
        <f t="shared" si="3"/>
        <v>45765</v>
      </c>
      <c r="I20" s="74"/>
      <c r="J20" s="74"/>
      <c r="K20" s="74"/>
      <c r="L20" s="74"/>
      <c r="M20" s="74"/>
      <c r="N20" s="7">
        <f>IFERROR(SUM(Table911[[#This Row],[Inv1]:[Inv3]]),"")</f>
        <v>0</v>
      </c>
      <c r="O20" s="74"/>
    </row>
    <row r="21" spans="1:15" x14ac:dyDescent="0.3">
      <c r="A21" s="74">
        <f t="shared" si="2"/>
        <v>19</v>
      </c>
      <c r="B21" s="207">
        <f>YEAR(Table911[[#This Row],[Date]])+IF(MONTH(Table911[[#This Row],[Date]])&gt;=4,1,0)</f>
        <v>2026</v>
      </c>
      <c r="C21" s="74">
        <f>YEAR(Table911[[#This Row],[Date]])</f>
        <v>2025</v>
      </c>
      <c r="D21" s="74" t="s">
        <v>1082</v>
      </c>
      <c r="E21" s="7" t="s">
        <v>1082</v>
      </c>
      <c r="F21" s="7" t="str">
        <f>TEXT(Table911[[#This Row],[Date]],"mmm-yy")</f>
        <v>Apr-25</v>
      </c>
      <c r="G21" s="208">
        <f t="shared" si="0"/>
        <v>30</v>
      </c>
      <c r="H21" s="206">
        <f t="shared" si="3"/>
        <v>45766</v>
      </c>
      <c r="I21" s="74"/>
      <c r="J21" s="74"/>
      <c r="K21" s="74"/>
      <c r="L21" s="74"/>
      <c r="M21" s="74"/>
      <c r="N21" s="7">
        <f>IFERROR(SUM(Table911[[#This Row],[Inv1]:[Inv3]]),"")</f>
        <v>0</v>
      </c>
      <c r="O21" s="74"/>
    </row>
    <row r="22" spans="1:15" x14ac:dyDescent="0.3">
      <c r="A22" s="74">
        <f t="shared" si="2"/>
        <v>20</v>
      </c>
      <c r="B22" s="207">
        <f>YEAR(Table911[[#This Row],[Date]])+IF(MONTH(Table911[[#This Row],[Date]])&gt;=4,1,0)</f>
        <v>2026</v>
      </c>
      <c r="C22" s="74">
        <f>YEAR(Table911[[#This Row],[Date]])</f>
        <v>2025</v>
      </c>
      <c r="D22" s="74" t="s">
        <v>1082</v>
      </c>
      <c r="E22" s="7" t="s">
        <v>1082</v>
      </c>
      <c r="F22" s="7" t="str">
        <f>TEXT(Table911[[#This Row],[Date]],"mmm-yy")</f>
        <v>Apr-25</v>
      </c>
      <c r="G22" s="208">
        <f t="shared" si="0"/>
        <v>30</v>
      </c>
      <c r="H22" s="206">
        <f t="shared" si="3"/>
        <v>45767</v>
      </c>
      <c r="I22" s="74"/>
      <c r="J22" s="74"/>
      <c r="K22" s="74"/>
      <c r="L22" s="74"/>
      <c r="M22" s="74"/>
      <c r="N22" s="7">
        <f>IFERROR(SUM(Table911[[#This Row],[Inv1]:[Inv3]]),"")</f>
        <v>0</v>
      </c>
      <c r="O22" s="74"/>
    </row>
    <row r="23" spans="1:15" x14ac:dyDescent="0.3">
      <c r="A23" s="74">
        <f t="shared" si="2"/>
        <v>21</v>
      </c>
      <c r="B23" s="207">
        <f>YEAR(Table911[[#This Row],[Date]])+IF(MONTH(Table911[[#This Row],[Date]])&gt;=4,1,0)</f>
        <v>2026</v>
      </c>
      <c r="C23" s="74">
        <f>YEAR(Table911[[#This Row],[Date]])</f>
        <v>2025</v>
      </c>
      <c r="D23" s="74" t="s">
        <v>1082</v>
      </c>
      <c r="E23" s="7" t="s">
        <v>1082</v>
      </c>
      <c r="F23" s="7" t="str">
        <f>TEXT(Table911[[#This Row],[Date]],"mmm-yy")</f>
        <v>Apr-25</v>
      </c>
      <c r="G23" s="208">
        <f t="shared" si="0"/>
        <v>30</v>
      </c>
      <c r="H23" s="206">
        <f t="shared" si="3"/>
        <v>45768</v>
      </c>
      <c r="I23" s="74"/>
      <c r="J23" s="74"/>
      <c r="K23" s="74"/>
      <c r="L23" s="74"/>
      <c r="M23" s="74"/>
      <c r="N23" s="7">
        <f>IFERROR(SUM(Table911[[#This Row],[Inv1]:[Inv3]]),"")</f>
        <v>0</v>
      </c>
      <c r="O23" s="74"/>
    </row>
    <row r="24" spans="1:15" x14ac:dyDescent="0.3">
      <c r="A24" s="74"/>
      <c r="B24" s="74"/>
      <c r="C24" s="74"/>
      <c r="D24" s="74"/>
      <c r="H24" s="74"/>
      <c r="I24" s="74"/>
      <c r="J24" s="74"/>
      <c r="K24" s="74"/>
      <c r="L24" s="74"/>
      <c r="O24" s="74"/>
    </row>
    <row r="25" spans="1:15" x14ac:dyDescent="0.3">
      <c r="A25" s="74"/>
      <c r="B25" s="74"/>
      <c r="C25" s="74"/>
      <c r="D25" s="74"/>
      <c r="H25" s="74"/>
      <c r="I25" s="74"/>
      <c r="J25" s="74"/>
      <c r="K25" s="74"/>
      <c r="L25" s="74"/>
      <c r="O25" s="74"/>
    </row>
    <row r="26" spans="1:15" x14ac:dyDescent="0.3">
      <c r="A26" s="74"/>
      <c r="B26" s="74"/>
      <c r="C26" s="74"/>
      <c r="D26" s="74"/>
      <c r="H26" s="74"/>
      <c r="I26" s="74"/>
      <c r="J26" s="74"/>
      <c r="K26" s="74"/>
      <c r="L26" s="74"/>
      <c r="O26" s="74"/>
    </row>
    <row r="27" spans="1:15" x14ac:dyDescent="0.3">
      <c r="A27" s="74"/>
      <c r="B27" s="74"/>
      <c r="C27" s="74"/>
      <c r="D27" s="74"/>
      <c r="H27" s="74"/>
      <c r="I27" s="74"/>
      <c r="J27" s="74"/>
      <c r="K27" s="74"/>
      <c r="L27" s="74"/>
      <c r="O27" s="74"/>
    </row>
    <row r="28" spans="1:15" x14ac:dyDescent="0.3">
      <c r="A28" s="74"/>
      <c r="B28" s="74"/>
      <c r="C28" s="74"/>
      <c r="D28" s="74"/>
      <c r="H28" s="74"/>
      <c r="I28" s="74"/>
      <c r="J28" s="74"/>
      <c r="K28" s="74"/>
      <c r="L28" s="74"/>
      <c r="O28" s="74"/>
    </row>
    <row r="29" spans="1:15" x14ac:dyDescent="0.3">
      <c r="A29" s="74"/>
      <c r="B29" s="74"/>
      <c r="C29" s="74"/>
      <c r="D29" s="74"/>
      <c r="H29" s="74"/>
      <c r="I29" s="74"/>
      <c r="J29" s="74"/>
      <c r="K29" s="74"/>
      <c r="L29" s="74"/>
      <c r="O29" s="74"/>
    </row>
    <row r="30" spans="1:15" x14ac:dyDescent="0.3">
      <c r="A30" s="74"/>
      <c r="B30" s="74"/>
      <c r="C30" s="74"/>
      <c r="D30" s="74"/>
      <c r="H30" s="74"/>
      <c r="I30" s="74"/>
      <c r="J30" s="74"/>
      <c r="K30" s="74"/>
      <c r="L30" s="74"/>
      <c r="O30" s="74"/>
    </row>
    <row r="31" spans="1:15" x14ac:dyDescent="0.3">
      <c r="A31" s="74"/>
      <c r="B31" s="74"/>
      <c r="C31" s="74"/>
      <c r="D31" s="74"/>
      <c r="H31" s="74"/>
      <c r="I31" s="74"/>
      <c r="J31" s="74"/>
      <c r="K31" s="74"/>
      <c r="L31" s="74"/>
      <c r="O31" s="74"/>
    </row>
    <row r="32" spans="1:15" x14ac:dyDescent="0.3">
      <c r="A32" s="74"/>
      <c r="B32" s="74"/>
      <c r="C32" s="74"/>
      <c r="D32" s="74"/>
      <c r="H32" s="74"/>
      <c r="I32" s="74"/>
      <c r="J32" s="74"/>
      <c r="K32" s="74"/>
      <c r="L32" s="74"/>
      <c r="O32" s="74"/>
    </row>
    <row r="33" spans="1:15" x14ac:dyDescent="0.3">
      <c r="A33" s="74"/>
      <c r="B33" s="74"/>
      <c r="C33" s="74"/>
      <c r="D33" s="74"/>
      <c r="H33" s="74"/>
      <c r="I33" s="74"/>
      <c r="J33" s="74"/>
      <c r="K33" s="74"/>
      <c r="L33" s="74"/>
      <c r="O33" s="74"/>
    </row>
    <row r="34" spans="1:15" x14ac:dyDescent="0.3">
      <c r="A34" s="74"/>
      <c r="B34" s="74"/>
      <c r="C34" s="74"/>
      <c r="D34" s="74"/>
      <c r="H34" s="74"/>
      <c r="I34" s="74"/>
      <c r="J34" s="74"/>
      <c r="K34" s="74"/>
      <c r="L34" s="74"/>
      <c r="O34" s="74"/>
    </row>
    <row r="35" spans="1:15" x14ac:dyDescent="0.3">
      <c r="A35" s="74"/>
      <c r="B35" s="74"/>
      <c r="C35" s="74"/>
      <c r="D35" s="74"/>
      <c r="H35" s="74"/>
      <c r="I35" s="74"/>
      <c r="J35" s="74"/>
      <c r="K35" s="74"/>
      <c r="L35" s="74"/>
      <c r="O35" s="74"/>
    </row>
    <row r="36" spans="1:15" x14ac:dyDescent="0.3">
      <c r="A36" s="74"/>
      <c r="B36" s="74"/>
      <c r="C36" s="74"/>
      <c r="D36" s="74"/>
      <c r="H36" s="74"/>
      <c r="I36" s="74"/>
      <c r="J36" s="74"/>
      <c r="K36" s="74"/>
      <c r="L36" s="74"/>
      <c r="O36" s="74"/>
    </row>
    <row r="37" spans="1:15" x14ac:dyDescent="0.3">
      <c r="A37" s="74"/>
      <c r="B37" s="74"/>
      <c r="C37" s="74"/>
      <c r="D37" s="74"/>
      <c r="H37" s="74"/>
      <c r="I37" s="74"/>
      <c r="J37" s="74"/>
      <c r="K37" s="74"/>
      <c r="L37" s="74"/>
      <c r="O37" s="74"/>
    </row>
    <row r="38" spans="1:15" x14ac:dyDescent="0.3">
      <c r="A38" s="74"/>
      <c r="B38" s="74"/>
      <c r="C38" s="74"/>
      <c r="D38" s="74"/>
      <c r="H38" s="74"/>
      <c r="I38" s="74"/>
      <c r="J38" s="74"/>
      <c r="K38" s="74"/>
      <c r="L38" s="74"/>
      <c r="O38" s="74"/>
    </row>
    <row r="39" spans="1:15" x14ac:dyDescent="0.3">
      <c r="A39" s="74"/>
      <c r="B39" s="74"/>
      <c r="C39" s="74"/>
      <c r="D39" s="74"/>
      <c r="H39" s="74"/>
      <c r="I39" s="74"/>
      <c r="J39" s="74"/>
      <c r="K39" s="74"/>
      <c r="L39" s="74"/>
      <c r="O39" s="74"/>
    </row>
    <row r="40" spans="1:15" x14ac:dyDescent="0.3">
      <c r="A40" s="74"/>
      <c r="B40" s="74"/>
      <c r="C40" s="74"/>
      <c r="D40" s="74"/>
      <c r="H40" s="74"/>
      <c r="I40" s="74"/>
      <c r="J40" s="74"/>
      <c r="K40" s="74"/>
      <c r="L40" s="74"/>
      <c r="O40" s="74"/>
    </row>
    <row r="41" spans="1:15" x14ac:dyDescent="0.3">
      <c r="A41" s="74"/>
      <c r="B41" s="74"/>
      <c r="C41" s="74"/>
      <c r="D41" s="74"/>
      <c r="H41" s="74"/>
      <c r="I41" s="74"/>
      <c r="J41" s="74"/>
      <c r="K41" s="74"/>
      <c r="L41" s="74"/>
      <c r="O41" s="74"/>
    </row>
    <row r="42" spans="1:15" x14ac:dyDescent="0.3">
      <c r="A42" s="74"/>
      <c r="B42" s="74"/>
      <c r="C42" s="74"/>
      <c r="D42" s="74"/>
      <c r="H42" s="74"/>
      <c r="I42" s="74"/>
      <c r="J42" s="74"/>
      <c r="K42" s="74"/>
      <c r="L42" s="74"/>
      <c r="O42" s="74"/>
    </row>
    <row r="43" spans="1:15" x14ac:dyDescent="0.3">
      <c r="A43" s="74"/>
      <c r="B43" s="74"/>
      <c r="C43" s="74"/>
      <c r="D43" s="74"/>
      <c r="H43" s="74"/>
      <c r="I43" s="74"/>
      <c r="J43" s="74"/>
      <c r="K43" s="74"/>
      <c r="L43" s="74"/>
      <c r="O43" s="74"/>
    </row>
    <row r="44" spans="1:15" x14ac:dyDescent="0.3">
      <c r="A44" s="74"/>
      <c r="B44" s="74"/>
      <c r="C44" s="74"/>
      <c r="D44" s="74"/>
      <c r="H44" s="74"/>
      <c r="I44" s="74"/>
      <c r="J44" s="74"/>
      <c r="K44" s="74"/>
      <c r="L44" s="74"/>
      <c r="O44" s="74"/>
    </row>
    <row r="45" spans="1:15" x14ac:dyDescent="0.3">
      <c r="A45" s="74"/>
      <c r="B45" s="74"/>
      <c r="C45" s="74"/>
      <c r="D45" s="74"/>
      <c r="H45" s="74"/>
      <c r="I45" s="74"/>
      <c r="J45" s="74"/>
      <c r="K45" s="74"/>
      <c r="L45" s="74"/>
      <c r="O45" s="74"/>
    </row>
    <row r="46" spans="1:15" x14ac:dyDescent="0.3">
      <c r="A46" s="74"/>
      <c r="B46" s="74"/>
      <c r="C46" s="74"/>
      <c r="D46" s="74"/>
      <c r="H46" s="74"/>
      <c r="I46" s="74"/>
      <c r="J46" s="74"/>
      <c r="K46" s="74"/>
      <c r="L46" s="74"/>
      <c r="O46" s="74"/>
    </row>
    <row r="47" spans="1:15" x14ac:dyDescent="0.3">
      <c r="A47" s="74"/>
      <c r="B47" s="74"/>
      <c r="C47" s="74"/>
      <c r="D47" s="74"/>
      <c r="H47" s="74"/>
      <c r="I47" s="74"/>
      <c r="J47" s="74"/>
      <c r="K47" s="74"/>
      <c r="L47" s="74"/>
      <c r="O47" s="74"/>
    </row>
    <row r="48" spans="1:15" x14ac:dyDescent="0.3">
      <c r="A48" s="74"/>
      <c r="B48" s="74"/>
      <c r="C48" s="74"/>
      <c r="D48" s="74"/>
      <c r="H48" s="74"/>
      <c r="I48" s="74"/>
      <c r="J48" s="74"/>
      <c r="K48" s="74"/>
      <c r="L48" s="74"/>
      <c r="O48" s="74"/>
    </row>
    <row r="49" spans="1:15" x14ac:dyDescent="0.3">
      <c r="A49" s="74"/>
      <c r="B49" s="74"/>
      <c r="C49" s="74"/>
      <c r="D49" s="74"/>
      <c r="H49" s="74"/>
      <c r="I49" s="74"/>
      <c r="J49" s="74"/>
      <c r="K49" s="74"/>
      <c r="L49" s="74"/>
      <c r="O49" s="74"/>
    </row>
    <row r="50" spans="1:15" x14ac:dyDescent="0.3">
      <c r="A50" s="74"/>
      <c r="B50" s="74"/>
      <c r="C50" s="74"/>
      <c r="D50" s="74"/>
      <c r="H50" s="74"/>
      <c r="I50" s="74"/>
      <c r="J50" s="74"/>
      <c r="K50" s="74"/>
      <c r="L50" s="74"/>
      <c r="O50" s="74"/>
    </row>
    <row r="51" spans="1:15" x14ac:dyDescent="0.3">
      <c r="A51" s="74"/>
      <c r="B51" s="74"/>
      <c r="C51" s="74"/>
      <c r="D51" s="74"/>
      <c r="H51" s="74"/>
      <c r="I51" s="74"/>
      <c r="J51" s="74"/>
      <c r="K51" s="74"/>
      <c r="L51" s="74"/>
      <c r="O51" s="74"/>
    </row>
    <row r="52" spans="1:15" x14ac:dyDescent="0.3">
      <c r="A52" s="74"/>
      <c r="B52" s="74"/>
      <c r="C52" s="74"/>
      <c r="D52" s="74"/>
      <c r="H52" s="74"/>
      <c r="I52" s="74"/>
      <c r="J52" s="74"/>
      <c r="K52" s="74"/>
      <c r="L52" s="74"/>
      <c r="O52" s="74"/>
    </row>
    <row r="53" spans="1:15" x14ac:dyDescent="0.3">
      <c r="A53" s="74"/>
      <c r="B53" s="74"/>
      <c r="C53" s="74"/>
      <c r="D53" s="74"/>
      <c r="H53" s="74"/>
      <c r="I53" s="74"/>
      <c r="J53" s="74"/>
      <c r="K53" s="74"/>
      <c r="L53" s="74"/>
      <c r="O53" s="74"/>
    </row>
    <row r="54" spans="1:15" x14ac:dyDescent="0.3">
      <c r="A54" s="74"/>
      <c r="B54" s="74"/>
      <c r="C54" s="74"/>
      <c r="D54" s="74"/>
      <c r="H54" s="74"/>
      <c r="I54" s="74"/>
      <c r="J54" s="74"/>
      <c r="K54" s="74"/>
      <c r="L54" s="74"/>
      <c r="O54" s="74"/>
    </row>
    <row r="55" spans="1:15" x14ac:dyDescent="0.3">
      <c r="A55" s="74"/>
      <c r="B55" s="74"/>
      <c r="C55" s="74"/>
      <c r="D55" s="74"/>
      <c r="H55" s="74"/>
      <c r="I55" s="74"/>
      <c r="J55" s="74"/>
      <c r="K55" s="74"/>
      <c r="L55" s="74"/>
      <c r="O55" s="74"/>
    </row>
    <row r="56" spans="1:15" x14ac:dyDescent="0.3">
      <c r="A56" s="74"/>
      <c r="B56" s="74"/>
      <c r="C56" s="74"/>
      <c r="D56" s="74"/>
      <c r="H56" s="74"/>
      <c r="I56" s="74"/>
      <c r="J56" s="74"/>
      <c r="K56" s="74"/>
      <c r="L56" s="74"/>
      <c r="O56" s="74"/>
    </row>
    <row r="57" spans="1:15" x14ac:dyDescent="0.3">
      <c r="A57" s="74"/>
      <c r="B57" s="74"/>
      <c r="C57" s="74"/>
      <c r="D57" s="74"/>
      <c r="H57" s="74"/>
      <c r="I57" s="74"/>
      <c r="J57" s="74"/>
      <c r="K57" s="74"/>
      <c r="L57" s="74"/>
      <c r="O57" s="74"/>
    </row>
    <row r="58" spans="1:15" x14ac:dyDescent="0.3">
      <c r="A58" s="74"/>
      <c r="B58" s="74"/>
      <c r="C58" s="74"/>
      <c r="D58" s="74"/>
      <c r="H58" s="74"/>
      <c r="I58" s="74"/>
      <c r="J58" s="74"/>
      <c r="K58" s="74"/>
      <c r="L58" s="74"/>
      <c r="O58" s="74"/>
    </row>
    <row r="59" spans="1:15" x14ac:dyDescent="0.3">
      <c r="A59" s="74"/>
      <c r="B59" s="74"/>
      <c r="C59" s="74"/>
      <c r="D59" s="74"/>
      <c r="H59" s="74"/>
      <c r="I59" s="74"/>
      <c r="J59" s="74"/>
      <c r="K59" s="74"/>
      <c r="L59" s="74"/>
      <c r="O59" s="74"/>
    </row>
    <row r="60" spans="1:15" x14ac:dyDescent="0.3">
      <c r="A60" s="74"/>
      <c r="B60" s="74"/>
      <c r="C60" s="74"/>
      <c r="D60" s="74"/>
      <c r="H60" s="74"/>
      <c r="I60" s="74"/>
      <c r="J60" s="74"/>
      <c r="K60" s="74"/>
      <c r="L60" s="74"/>
      <c r="O60" s="74"/>
    </row>
    <row r="61" spans="1:15" x14ac:dyDescent="0.3">
      <c r="A61" s="74"/>
      <c r="B61" s="74"/>
      <c r="C61" s="74"/>
      <c r="D61" s="74"/>
      <c r="H61" s="74"/>
      <c r="I61" s="74"/>
      <c r="J61" s="74"/>
      <c r="K61" s="74"/>
      <c r="L61" s="74"/>
      <c r="O61" s="74"/>
    </row>
    <row r="62" spans="1:15" x14ac:dyDescent="0.3">
      <c r="A62" s="74"/>
      <c r="B62" s="74"/>
      <c r="C62" s="74"/>
      <c r="D62" s="74"/>
      <c r="H62" s="74"/>
      <c r="I62" s="74"/>
      <c r="J62" s="74"/>
      <c r="K62" s="74"/>
      <c r="L62" s="74"/>
      <c r="O62" s="74"/>
    </row>
    <row r="63" spans="1:15" x14ac:dyDescent="0.3">
      <c r="A63" s="74"/>
      <c r="B63" s="74"/>
      <c r="C63" s="74"/>
      <c r="D63" s="74"/>
      <c r="H63" s="74"/>
      <c r="I63" s="74"/>
      <c r="J63" s="74"/>
      <c r="K63" s="74"/>
      <c r="L63" s="74"/>
      <c r="O63" s="74"/>
    </row>
    <row r="64" spans="1:15" x14ac:dyDescent="0.3">
      <c r="A64" s="74"/>
      <c r="B64" s="74"/>
      <c r="C64" s="74"/>
      <c r="D64" s="74"/>
      <c r="H64" s="74"/>
      <c r="I64" s="74"/>
      <c r="J64" s="74"/>
      <c r="K64" s="74"/>
      <c r="L64" s="74"/>
      <c r="O64" s="74"/>
    </row>
    <row r="65" spans="1:15" x14ac:dyDescent="0.3">
      <c r="A65" s="74"/>
      <c r="B65" s="74"/>
      <c r="C65" s="74"/>
      <c r="D65" s="74"/>
      <c r="H65" s="74"/>
      <c r="I65" s="74"/>
      <c r="J65" s="74"/>
      <c r="K65" s="74"/>
      <c r="L65" s="74"/>
      <c r="O65" s="74"/>
    </row>
    <row r="66" spans="1:15" x14ac:dyDescent="0.3">
      <c r="A66" s="74"/>
      <c r="B66" s="74"/>
      <c r="C66" s="74"/>
      <c r="D66" s="74"/>
      <c r="H66" s="74"/>
      <c r="I66" s="74"/>
      <c r="J66" s="74"/>
      <c r="K66" s="74"/>
      <c r="L66" s="74"/>
      <c r="O66" s="74"/>
    </row>
    <row r="67" spans="1:15" x14ac:dyDescent="0.3">
      <c r="A67" s="74"/>
      <c r="B67" s="74"/>
      <c r="C67" s="74"/>
      <c r="D67" s="74"/>
      <c r="H67" s="74"/>
      <c r="I67" s="74"/>
      <c r="J67" s="74"/>
      <c r="K67" s="74"/>
      <c r="L67" s="74"/>
      <c r="O67" s="74"/>
    </row>
    <row r="68" spans="1:15" x14ac:dyDescent="0.3">
      <c r="A68" s="74"/>
      <c r="B68" s="74"/>
      <c r="C68" s="74"/>
      <c r="D68" s="74"/>
      <c r="H68" s="74"/>
      <c r="I68" s="74"/>
      <c r="J68" s="74"/>
      <c r="K68" s="74"/>
      <c r="L68" s="74"/>
      <c r="O68" s="74"/>
    </row>
    <row r="69" spans="1:15" x14ac:dyDescent="0.3">
      <c r="A69" s="74"/>
      <c r="B69" s="74"/>
      <c r="C69" s="74"/>
      <c r="D69" s="74"/>
      <c r="H69" s="74"/>
      <c r="I69" s="74"/>
      <c r="J69" s="74"/>
      <c r="K69" s="74"/>
      <c r="L69" s="74"/>
      <c r="O69" s="74"/>
    </row>
    <row r="70" spans="1:15" x14ac:dyDescent="0.3">
      <c r="A70" s="74"/>
      <c r="B70" s="74"/>
      <c r="C70" s="74"/>
      <c r="D70" s="74"/>
      <c r="H70" s="74"/>
      <c r="I70" s="74"/>
      <c r="J70" s="74"/>
      <c r="K70" s="74"/>
      <c r="L70" s="74"/>
      <c r="O70" s="74"/>
    </row>
    <row r="71" spans="1:15" x14ac:dyDescent="0.3">
      <c r="A71" s="74"/>
      <c r="B71" s="74"/>
      <c r="C71" s="74"/>
      <c r="D71" s="74"/>
      <c r="H71" s="74"/>
      <c r="I71" s="74"/>
      <c r="J71" s="74"/>
      <c r="K71" s="74"/>
      <c r="L71" s="74"/>
      <c r="O71" s="74"/>
    </row>
    <row r="72" spans="1:15" x14ac:dyDescent="0.3">
      <c r="A72" s="74"/>
      <c r="B72" s="74"/>
      <c r="C72" s="74"/>
      <c r="D72" s="74"/>
      <c r="H72" s="74"/>
      <c r="I72" s="74"/>
      <c r="J72" s="74"/>
      <c r="K72" s="74"/>
      <c r="L72" s="74"/>
      <c r="O72" s="74"/>
    </row>
    <row r="73" spans="1:15" x14ac:dyDescent="0.3">
      <c r="A73" s="74"/>
      <c r="B73" s="74"/>
      <c r="C73" s="74"/>
      <c r="D73" s="74"/>
      <c r="H73" s="74"/>
      <c r="I73" s="74"/>
      <c r="J73" s="74"/>
      <c r="K73" s="74"/>
      <c r="L73" s="74"/>
      <c r="O73" s="74"/>
    </row>
    <row r="74" spans="1:15" x14ac:dyDescent="0.3">
      <c r="A74" s="74"/>
      <c r="B74" s="74"/>
      <c r="C74" s="74"/>
      <c r="D74" s="74"/>
      <c r="H74" s="74"/>
      <c r="I74" s="74"/>
      <c r="J74" s="74"/>
      <c r="K74" s="74"/>
      <c r="L74" s="74"/>
      <c r="O74" s="74"/>
    </row>
    <row r="75" spans="1:15" x14ac:dyDescent="0.3">
      <c r="A75" s="74"/>
      <c r="B75" s="74"/>
      <c r="C75" s="74"/>
      <c r="D75" s="74"/>
      <c r="H75" s="74"/>
      <c r="I75" s="74"/>
      <c r="J75" s="74"/>
      <c r="K75" s="74"/>
      <c r="L75" s="74"/>
      <c r="O75" s="74"/>
    </row>
    <row r="76" spans="1:15" x14ac:dyDescent="0.3">
      <c r="A76" s="74"/>
      <c r="B76" s="74"/>
      <c r="C76" s="74"/>
      <c r="D76" s="74"/>
      <c r="H76" s="74"/>
      <c r="I76" s="74"/>
      <c r="J76" s="74"/>
      <c r="K76" s="74"/>
      <c r="L76" s="74"/>
      <c r="O76" s="74"/>
    </row>
    <row r="77" spans="1:15" x14ac:dyDescent="0.3">
      <c r="A77" s="74"/>
      <c r="B77" s="74"/>
      <c r="C77" s="74"/>
      <c r="D77" s="74"/>
      <c r="H77" s="74"/>
      <c r="I77" s="74"/>
      <c r="J77" s="74"/>
      <c r="K77" s="74"/>
      <c r="L77" s="74"/>
      <c r="O77" s="74"/>
    </row>
    <row r="78" spans="1:15" x14ac:dyDescent="0.3">
      <c r="A78" s="74"/>
      <c r="B78" s="74"/>
      <c r="C78" s="74"/>
      <c r="D78" s="74"/>
      <c r="H78" s="74"/>
      <c r="I78" s="74"/>
      <c r="J78" s="74"/>
      <c r="K78" s="74"/>
      <c r="L78" s="74"/>
      <c r="O78" s="74"/>
    </row>
    <row r="79" spans="1:15" x14ac:dyDescent="0.3">
      <c r="A79" s="74"/>
      <c r="B79" s="74"/>
      <c r="C79" s="74"/>
      <c r="D79" s="74"/>
      <c r="H79" s="74"/>
      <c r="I79" s="74"/>
      <c r="J79" s="74"/>
      <c r="K79" s="74"/>
      <c r="L79" s="74"/>
      <c r="O79" s="74"/>
    </row>
    <row r="80" spans="1:15" x14ac:dyDescent="0.3">
      <c r="A80" s="74"/>
      <c r="B80" s="74"/>
      <c r="C80" s="74"/>
      <c r="D80" s="74"/>
      <c r="H80" s="74"/>
      <c r="I80" s="74"/>
      <c r="J80" s="74"/>
      <c r="K80" s="74"/>
      <c r="L80" s="74"/>
      <c r="O80" s="74"/>
    </row>
    <row r="81" spans="1:15" x14ac:dyDescent="0.3">
      <c r="A81" s="74"/>
      <c r="B81" s="74"/>
      <c r="C81" s="74"/>
      <c r="D81" s="74"/>
      <c r="H81" s="74"/>
      <c r="I81" s="74"/>
      <c r="J81" s="74"/>
      <c r="K81" s="74"/>
      <c r="L81" s="74"/>
      <c r="O81" s="74"/>
    </row>
    <row r="82" spans="1:15" x14ac:dyDescent="0.3">
      <c r="A82" s="74"/>
      <c r="B82" s="74"/>
      <c r="C82" s="74"/>
      <c r="D82" s="74"/>
      <c r="H82" s="74"/>
      <c r="I82" s="74"/>
      <c r="J82" s="74"/>
      <c r="K82" s="74"/>
      <c r="L82" s="74"/>
      <c r="O82" s="74"/>
    </row>
    <row r="83" spans="1:15" x14ac:dyDescent="0.3">
      <c r="A83" s="74"/>
      <c r="B83" s="74"/>
      <c r="C83" s="74"/>
      <c r="D83" s="74"/>
      <c r="H83" s="74"/>
      <c r="I83" s="74"/>
      <c r="J83" s="74"/>
      <c r="K83" s="74"/>
      <c r="L83" s="74"/>
      <c r="O83" s="74"/>
    </row>
    <row r="84" spans="1:15" x14ac:dyDescent="0.3">
      <c r="A84" s="74"/>
      <c r="B84" s="74"/>
      <c r="C84" s="74"/>
      <c r="D84" s="74"/>
      <c r="H84" s="74"/>
      <c r="I84" s="74"/>
      <c r="J84" s="74"/>
      <c r="K84" s="74"/>
      <c r="L84" s="74"/>
      <c r="O84" s="74"/>
    </row>
    <row r="85" spans="1:15" x14ac:dyDescent="0.3">
      <c r="A85" s="74"/>
      <c r="B85" s="74"/>
      <c r="C85" s="74"/>
      <c r="D85" s="74"/>
      <c r="H85" s="74"/>
      <c r="I85" s="74"/>
      <c r="J85" s="74"/>
      <c r="K85" s="74"/>
      <c r="L85" s="74"/>
      <c r="O85" s="74"/>
    </row>
    <row r="86" spans="1:15" x14ac:dyDescent="0.3">
      <c r="A86" s="74"/>
      <c r="B86" s="74"/>
      <c r="C86" s="74"/>
      <c r="D86" s="74"/>
      <c r="H86" s="74"/>
      <c r="I86" s="74"/>
      <c r="J86" s="74"/>
      <c r="K86" s="74"/>
      <c r="L86" s="74"/>
      <c r="O86" s="74"/>
    </row>
    <row r="87" spans="1:15" x14ac:dyDescent="0.3">
      <c r="A87" s="74"/>
      <c r="B87" s="74"/>
      <c r="C87" s="74"/>
      <c r="D87" s="74"/>
      <c r="H87" s="74"/>
      <c r="I87" s="74"/>
      <c r="J87" s="74"/>
      <c r="K87" s="74"/>
      <c r="L87" s="74"/>
      <c r="O87" s="74"/>
    </row>
    <row r="88" spans="1:15" x14ac:dyDescent="0.3">
      <c r="A88" s="74"/>
      <c r="B88" s="74"/>
      <c r="C88" s="74"/>
      <c r="D88" s="74"/>
      <c r="H88" s="74"/>
      <c r="I88" s="74"/>
      <c r="J88" s="74"/>
      <c r="K88" s="74"/>
      <c r="L88" s="74"/>
      <c r="O88" s="74"/>
    </row>
    <row r="89" spans="1:15" x14ac:dyDescent="0.3">
      <c r="A89" s="74"/>
      <c r="B89" s="74"/>
      <c r="C89" s="74"/>
      <c r="D89" s="74"/>
      <c r="H89" s="74"/>
      <c r="I89" s="74"/>
      <c r="J89" s="74"/>
      <c r="K89" s="74"/>
      <c r="L89" s="74"/>
      <c r="O89" s="74"/>
    </row>
    <row r="90" spans="1:15" x14ac:dyDescent="0.3">
      <c r="A90" s="74"/>
      <c r="B90" s="74"/>
      <c r="C90" s="74"/>
      <c r="D90" s="74"/>
      <c r="H90" s="74"/>
      <c r="I90" s="74"/>
      <c r="J90" s="74"/>
      <c r="K90" s="74"/>
      <c r="L90" s="74"/>
      <c r="O90" s="74"/>
    </row>
    <row r="91" spans="1:15" x14ac:dyDescent="0.3">
      <c r="A91" s="74"/>
      <c r="B91" s="74"/>
      <c r="C91" s="74"/>
      <c r="D91" s="74"/>
      <c r="H91" s="74"/>
      <c r="I91" s="74"/>
      <c r="J91" s="74"/>
      <c r="K91" s="74"/>
      <c r="L91" s="74"/>
      <c r="O91" s="74"/>
    </row>
    <row r="92" spans="1:15" x14ac:dyDescent="0.3">
      <c r="A92" s="74"/>
      <c r="B92" s="74"/>
      <c r="C92" s="74"/>
      <c r="D92" s="74"/>
      <c r="H92" s="74"/>
      <c r="I92" s="74"/>
      <c r="J92" s="74"/>
      <c r="K92" s="74"/>
      <c r="L92" s="74"/>
      <c r="O92" s="74"/>
    </row>
    <row r="93" spans="1:15" x14ac:dyDescent="0.3">
      <c r="A93" s="74"/>
      <c r="B93" s="74"/>
      <c r="C93" s="74"/>
      <c r="D93" s="74"/>
      <c r="H93" s="74"/>
      <c r="I93" s="74"/>
      <c r="J93" s="74"/>
      <c r="K93" s="74"/>
      <c r="L93" s="74"/>
      <c r="O93" s="74"/>
    </row>
    <row r="94" spans="1:15" x14ac:dyDescent="0.3">
      <c r="A94" s="74"/>
      <c r="B94" s="74"/>
      <c r="C94" s="74"/>
      <c r="D94" s="74"/>
      <c r="H94" s="74"/>
      <c r="I94" s="74"/>
      <c r="J94" s="74"/>
      <c r="K94" s="74"/>
      <c r="L94" s="74"/>
      <c r="O94" s="74"/>
    </row>
    <row r="95" spans="1:15" x14ac:dyDescent="0.3">
      <c r="A95" s="74"/>
      <c r="B95" s="74"/>
      <c r="C95" s="74"/>
      <c r="D95" s="74"/>
      <c r="H95" s="74"/>
      <c r="I95" s="74"/>
      <c r="J95" s="74"/>
      <c r="K95" s="74"/>
      <c r="L95" s="74"/>
      <c r="O95" s="74"/>
    </row>
    <row r="96" spans="1:15" x14ac:dyDescent="0.3">
      <c r="A96" s="74"/>
      <c r="B96" s="74"/>
      <c r="C96" s="74"/>
      <c r="D96" s="74"/>
      <c r="H96" s="74"/>
      <c r="I96" s="74"/>
      <c r="J96" s="74"/>
      <c r="K96" s="74"/>
      <c r="L96" s="74"/>
      <c r="O96" s="74"/>
    </row>
    <row r="97" spans="1:15" x14ac:dyDescent="0.3">
      <c r="A97" s="74"/>
      <c r="B97" s="74"/>
      <c r="C97" s="74"/>
      <c r="D97" s="74"/>
      <c r="H97" s="74"/>
      <c r="I97" s="74"/>
      <c r="J97" s="74"/>
      <c r="K97" s="74"/>
      <c r="L97" s="74"/>
      <c r="O97" s="74"/>
    </row>
    <row r="98" spans="1:15" x14ac:dyDescent="0.3">
      <c r="A98" s="74"/>
      <c r="B98" s="74"/>
      <c r="C98" s="74"/>
      <c r="D98" s="74"/>
      <c r="H98" s="74"/>
      <c r="I98" s="74"/>
      <c r="J98" s="74"/>
      <c r="K98" s="74"/>
      <c r="L98" s="74"/>
      <c r="O98" s="74"/>
    </row>
    <row r="99" spans="1:15" x14ac:dyDescent="0.3">
      <c r="A99" s="74"/>
      <c r="B99" s="74"/>
      <c r="C99" s="74"/>
      <c r="D99" s="74"/>
      <c r="H99" s="74"/>
      <c r="I99" s="74"/>
      <c r="J99" s="74"/>
      <c r="K99" s="74"/>
      <c r="L99" s="74"/>
      <c r="O99" s="74"/>
    </row>
    <row r="100" spans="1:15" x14ac:dyDescent="0.3">
      <c r="A100" s="74"/>
      <c r="B100" s="74"/>
      <c r="C100" s="74"/>
      <c r="D100" s="74"/>
      <c r="H100" s="74"/>
      <c r="I100" s="74"/>
      <c r="J100" s="74"/>
      <c r="K100" s="74"/>
      <c r="L100" s="74"/>
      <c r="O100" s="74"/>
    </row>
    <row r="101" spans="1:15" x14ac:dyDescent="0.3">
      <c r="A101" s="74"/>
      <c r="B101" s="74"/>
      <c r="C101" s="74"/>
      <c r="D101" s="74"/>
      <c r="H101" s="74"/>
      <c r="I101" s="74"/>
      <c r="J101" s="74"/>
      <c r="K101" s="74"/>
      <c r="L101" s="74"/>
      <c r="O101" s="74"/>
    </row>
    <row r="102" spans="1:15" x14ac:dyDescent="0.3">
      <c r="A102" s="74"/>
      <c r="B102" s="74"/>
      <c r="C102" s="74"/>
      <c r="D102" s="74"/>
      <c r="H102" s="74"/>
      <c r="I102" s="74"/>
      <c r="J102" s="74"/>
      <c r="K102" s="74"/>
      <c r="L102" s="74"/>
      <c r="O102" s="74"/>
    </row>
    <row r="103" spans="1:15" x14ac:dyDescent="0.3">
      <c r="A103" s="74"/>
      <c r="B103" s="74"/>
      <c r="C103" s="74"/>
      <c r="D103" s="74"/>
      <c r="H103" s="74"/>
      <c r="I103" s="74"/>
      <c r="J103" s="74"/>
      <c r="K103" s="74"/>
      <c r="L103" s="74"/>
      <c r="O103" s="74"/>
    </row>
    <row r="104" spans="1:15" x14ac:dyDescent="0.3">
      <c r="A104" s="74"/>
      <c r="B104" s="74"/>
      <c r="C104" s="74"/>
      <c r="D104" s="74"/>
      <c r="H104" s="74"/>
      <c r="I104" s="74"/>
      <c r="J104" s="74"/>
      <c r="K104" s="74"/>
      <c r="L104" s="74"/>
      <c r="O104" s="74"/>
    </row>
    <row r="105" spans="1:15" x14ac:dyDescent="0.3">
      <c r="A105" s="74"/>
      <c r="B105" s="74"/>
      <c r="C105" s="74"/>
      <c r="D105" s="74"/>
      <c r="H105" s="74"/>
      <c r="I105" s="74"/>
      <c r="J105" s="74"/>
      <c r="K105" s="74"/>
      <c r="L105" s="74"/>
      <c r="O105" s="74"/>
    </row>
    <row r="106" spans="1:15" x14ac:dyDescent="0.3">
      <c r="A106" s="74"/>
      <c r="B106" s="74"/>
      <c r="C106" s="74"/>
      <c r="D106" s="74"/>
      <c r="H106" s="74"/>
      <c r="I106" s="74"/>
      <c r="J106" s="74"/>
      <c r="K106" s="74"/>
      <c r="L106" s="74"/>
      <c r="O106" s="74"/>
    </row>
    <row r="107" spans="1:15" x14ac:dyDescent="0.3">
      <c r="A107" s="74"/>
      <c r="B107" s="74"/>
      <c r="C107" s="74"/>
      <c r="D107" s="74"/>
      <c r="H107" s="74"/>
      <c r="I107" s="74"/>
      <c r="J107" s="74"/>
      <c r="K107" s="74"/>
      <c r="L107" s="74"/>
      <c r="O107" s="74"/>
    </row>
    <row r="108" spans="1:15" x14ac:dyDescent="0.3">
      <c r="A108" s="74"/>
      <c r="B108" s="74"/>
      <c r="C108" s="74"/>
      <c r="D108" s="74"/>
      <c r="H108" s="74"/>
      <c r="I108" s="74"/>
      <c r="J108" s="74"/>
      <c r="K108" s="74"/>
      <c r="L108" s="74"/>
      <c r="O108" s="74"/>
    </row>
    <row r="109" spans="1:15" x14ac:dyDescent="0.3">
      <c r="A109" s="74"/>
      <c r="B109" s="74"/>
      <c r="C109" s="74"/>
      <c r="D109" s="74"/>
      <c r="H109" s="74"/>
      <c r="I109" s="74"/>
      <c r="J109" s="74"/>
      <c r="K109" s="74"/>
      <c r="L109" s="74"/>
      <c r="O109" s="74"/>
    </row>
    <row r="110" spans="1:15" x14ac:dyDescent="0.3">
      <c r="A110" s="74"/>
      <c r="B110" s="74"/>
      <c r="C110" s="74"/>
      <c r="D110" s="74"/>
      <c r="H110" s="74"/>
      <c r="I110" s="74"/>
      <c r="J110" s="74"/>
      <c r="K110" s="74"/>
      <c r="L110" s="74"/>
      <c r="O110" s="74"/>
    </row>
    <row r="111" spans="1:15" x14ac:dyDescent="0.3">
      <c r="A111" s="74"/>
      <c r="B111" s="74"/>
      <c r="C111" s="74"/>
      <c r="D111" s="74"/>
      <c r="H111" s="74"/>
      <c r="I111" s="74"/>
      <c r="J111" s="74"/>
      <c r="K111" s="74"/>
      <c r="L111" s="74"/>
      <c r="O111" s="74"/>
    </row>
    <row r="112" spans="1:15" x14ac:dyDescent="0.3">
      <c r="A112" s="74"/>
      <c r="B112" s="74"/>
      <c r="C112" s="74"/>
      <c r="D112" s="74"/>
      <c r="H112" s="74"/>
      <c r="I112" s="74"/>
      <c r="J112" s="74"/>
      <c r="K112" s="74"/>
      <c r="L112" s="74"/>
      <c r="O112" s="74"/>
    </row>
    <row r="113" spans="1:15" x14ac:dyDescent="0.3">
      <c r="A113" s="74"/>
      <c r="B113" s="74"/>
      <c r="C113" s="74"/>
      <c r="D113" s="74"/>
      <c r="H113" s="74"/>
      <c r="I113" s="74"/>
      <c r="J113" s="74"/>
      <c r="K113" s="74"/>
      <c r="L113" s="74"/>
      <c r="O113" s="74"/>
    </row>
    <row r="114" spans="1:15" x14ac:dyDescent="0.3">
      <c r="A114" s="74"/>
      <c r="B114" s="74"/>
      <c r="C114" s="74"/>
      <c r="D114" s="74"/>
      <c r="H114" s="74"/>
      <c r="I114" s="74"/>
      <c r="J114" s="74"/>
      <c r="K114" s="74"/>
      <c r="L114" s="74"/>
      <c r="O114" s="74"/>
    </row>
    <row r="115" spans="1:15" x14ac:dyDescent="0.3">
      <c r="A115" s="74"/>
      <c r="B115" s="74"/>
      <c r="C115" s="74"/>
      <c r="D115" s="74"/>
      <c r="H115" s="74"/>
      <c r="I115" s="74"/>
      <c r="J115" s="74"/>
      <c r="K115" s="74"/>
      <c r="L115" s="74"/>
      <c r="O115" s="74"/>
    </row>
    <row r="116" spans="1:15" x14ac:dyDescent="0.3">
      <c r="A116" s="74"/>
      <c r="B116" s="74"/>
      <c r="C116" s="74"/>
      <c r="D116" s="74"/>
      <c r="H116" s="74"/>
      <c r="I116" s="74"/>
      <c r="J116" s="74"/>
      <c r="K116" s="74"/>
      <c r="L116" s="74"/>
      <c r="O116" s="74"/>
    </row>
    <row r="117" spans="1:15" x14ac:dyDescent="0.3">
      <c r="A117" s="74"/>
      <c r="B117" s="74"/>
      <c r="C117" s="74"/>
      <c r="D117" s="74"/>
      <c r="H117" s="74"/>
      <c r="I117" s="74"/>
      <c r="J117" s="74"/>
      <c r="K117" s="74"/>
      <c r="L117" s="74"/>
      <c r="O117" s="74"/>
    </row>
    <row r="118" spans="1:15" x14ac:dyDescent="0.3">
      <c r="A118" s="74"/>
      <c r="B118" s="74"/>
      <c r="C118" s="74"/>
      <c r="D118" s="74"/>
      <c r="H118" s="74"/>
      <c r="I118" s="74"/>
      <c r="J118" s="74"/>
      <c r="K118" s="74"/>
      <c r="L118" s="74"/>
      <c r="O118" s="74"/>
    </row>
    <row r="119" spans="1:15" x14ac:dyDescent="0.3">
      <c r="A119" s="74"/>
      <c r="B119" s="74"/>
      <c r="C119" s="74"/>
      <c r="D119" s="74"/>
      <c r="H119" s="74"/>
      <c r="I119" s="74"/>
      <c r="J119" s="74"/>
      <c r="K119" s="74"/>
      <c r="L119" s="74"/>
      <c r="O119" s="74"/>
    </row>
    <row r="120" spans="1:15" x14ac:dyDescent="0.3">
      <c r="A120" s="74"/>
      <c r="B120" s="74"/>
      <c r="C120" s="74"/>
      <c r="D120" s="74"/>
      <c r="H120" s="74"/>
      <c r="I120" s="74"/>
      <c r="J120" s="74"/>
      <c r="K120" s="74"/>
      <c r="L120" s="74"/>
      <c r="O120" s="74"/>
    </row>
    <row r="121" spans="1:15" x14ac:dyDescent="0.3">
      <c r="A121" s="74"/>
      <c r="B121" s="74"/>
      <c r="C121" s="74"/>
      <c r="D121" s="74"/>
      <c r="H121" s="74"/>
      <c r="I121" s="74"/>
      <c r="J121" s="74"/>
      <c r="K121" s="74"/>
      <c r="L121" s="74"/>
      <c r="O121" s="74"/>
    </row>
    <row r="122" spans="1:15" x14ac:dyDescent="0.3">
      <c r="A122" s="74"/>
      <c r="B122" s="74"/>
      <c r="C122" s="74"/>
      <c r="D122" s="74"/>
      <c r="H122" s="74"/>
      <c r="I122" s="74"/>
      <c r="J122" s="74"/>
      <c r="K122" s="74"/>
      <c r="L122" s="74"/>
      <c r="O122" s="74"/>
    </row>
    <row r="123" spans="1:15" x14ac:dyDescent="0.3">
      <c r="A123" s="74"/>
      <c r="B123" s="74"/>
      <c r="C123" s="74"/>
      <c r="D123" s="74"/>
      <c r="H123" s="74"/>
      <c r="I123" s="74"/>
      <c r="J123" s="74"/>
      <c r="K123" s="74"/>
      <c r="L123" s="74"/>
      <c r="O123" s="74"/>
    </row>
    <row r="124" spans="1:15" x14ac:dyDescent="0.3">
      <c r="A124" s="74"/>
      <c r="B124" s="74"/>
      <c r="C124" s="74"/>
      <c r="D124" s="74"/>
      <c r="H124" s="74"/>
      <c r="I124" s="74"/>
      <c r="J124" s="74"/>
      <c r="K124" s="74"/>
      <c r="L124" s="74"/>
      <c r="O124" s="74"/>
    </row>
    <row r="125" spans="1:15" x14ac:dyDescent="0.3">
      <c r="A125" s="74"/>
      <c r="B125" s="74"/>
      <c r="C125" s="74"/>
      <c r="D125" s="74"/>
      <c r="H125" s="74"/>
      <c r="I125" s="74"/>
      <c r="J125" s="74"/>
      <c r="K125" s="74"/>
      <c r="L125" s="74"/>
      <c r="O125" s="74"/>
    </row>
    <row r="126" spans="1:15" x14ac:dyDescent="0.3">
      <c r="A126" s="74"/>
      <c r="B126" s="74"/>
      <c r="C126" s="74"/>
      <c r="D126" s="74"/>
      <c r="H126" s="74"/>
      <c r="I126" s="74"/>
      <c r="J126" s="74"/>
      <c r="K126" s="74"/>
      <c r="L126" s="74"/>
      <c r="O126" s="74"/>
    </row>
    <row r="127" spans="1:15" x14ac:dyDescent="0.3">
      <c r="A127" s="74"/>
      <c r="B127" s="74"/>
      <c r="C127" s="74"/>
      <c r="D127" s="74"/>
      <c r="H127" s="74"/>
      <c r="I127" s="74"/>
      <c r="J127" s="74"/>
      <c r="K127" s="74"/>
      <c r="L127" s="74"/>
      <c r="O127" s="74"/>
    </row>
    <row r="128" spans="1:15" x14ac:dyDescent="0.3">
      <c r="A128" s="74"/>
      <c r="B128" s="74"/>
      <c r="C128" s="74"/>
      <c r="D128" s="74"/>
      <c r="H128" s="74"/>
      <c r="I128" s="74"/>
      <c r="J128" s="74"/>
      <c r="K128" s="74"/>
      <c r="L128" s="74"/>
      <c r="O128" s="74"/>
    </row>
    <row r="129" spans="1:15" x14ac:dyDescent="0.3">
      <c r="A129" s="74"/>
      <c r="B129" s="74"/>
      <c r="C129" s="74"/>
      <c r="D129" s="74"/>
      <c r="H129" s="74"/>
      <c r="I129" s="74"/>
      <c r="J129" s="74"/>
      <c r="K129" s="74"/>
      <c r="L129" s="74"/>
      <c r="O129" s="74"/>
    </row>
    <row r="130" spans="1:15" x14ac:dyDescent="0.3">
      <c r="A130" s="74"/>
      <c r="B130" s="74"/>
      <c r="C130" s="74"/>
      <c r="D130" s="74"/>
      <c r="H130" s="74"/>
      <c r="I130" s="74"/>
      <c r="J130" s="74"/>
      <c r="K130" s="74"/>
      <c r="L130" s="74"/>
      <c r="O130" s="74"/>
    </row>
    <row r="131" spans="1:15" x14ac:dyDescent="0.3">
      <c r="A131" s="74"/>
      <c r="B131" s="74"/>
      <c r="C131" s="74"/>
      <c r="D131" s="74"/>
      <c r="H131" s="74"/>
      <c r="I131" s="74"/>
      <c r="J131" s="74"/>
      <c r="K131" s="74"/>
      <c r="L131" s="74"/>
      <c r="O131" s="74"/>
    </row>
    <row r="132" spans="1:15" x14ac:dyDescent="0.3">
      <c r="A132" s="74"/>
      <c r="B132" s="74"/>
      <c r="C132" s="74"/>
      <c r="D132" s="74"/>
      <c r="H132" s="74"/>
      <c r="I132" s="74"/>
      <c r="J132" s="74"/>
      <c r="K132" s="74"/>
      <c r="L132" s="74"/>
      <c r="O132" s="74"/>
    </row>
    <row r="133" spans="1:15" x14ac:dyDescent="0.3">
      <c r="A133" s="74"/>
      <c r="B133" s="74"/>
      <c r="C133" s="74"/>
      <c r="D133" s="74"/>
      <c r="H133" s="74"/>
      <c r="I133" s="74"/>
      <c r="J133" s="74"/>
      <c r="K133" s="74"/>
      <c r="L133" s="74"/>
      <c r="O133" s="74"/>
    </row>
    <row r="134" spans="1:15" x14ac:dyDescent="0.3">
      <c r="A134" s="74"/>
      <c r="B134" s="74"/>
      <c r="C134" s="74"/>
      <c r="D134" s="74"/>
      <c r="H134" s="74"/>
      <c r="I134" s="74"/>
      <c r="J134" s="74"/>
      <c r="K134" s="74"/>
      <c r="L134" s="74"/>
      <c r="O134" s="74"/>
    </row>
    <row r="135" spans="1:15" x14ac:dyDescent="0.3">
      <c r="A135" s="74"/>
      <c r="B135" s="74"/>
      <c r="C135" s="74"/>
      <c r="D135" s="74"/>
      <c r="H135" s="74"/>
      <c r="I135" s="74"/>
      <c r="J135" s="74"/>
      <c r="K135" s="74"/>
      <c r="L135" s="74"/>
      <c r="O135" s="74"/>
    </row>
    <row r="136" spans="1:15" x14ac:dyDescent="0.3">
      <c r="A136" s="74"/>
      <c r="B136" s="74"/>
      <c r="C136" s="74"/>
      <c r="D136" s="74"/>
      <c r="H136" s="74"/>
      <c r="I136" s="74"/>
      <c r="J136" s="74"/>
      <c r="K136" s="74"/>
      <c r="L136" s="74"/>
      <c r="O136" s="74"/>
    </row>
    <row r="137" spans="1:15" x14ac:dyDescent="0.3">
      <c r="A137" s="74"/>
      <c r="B137" s="74"/>
      <c r="C137" s="74"/>
      <c r="D137" s="74"/>
      <c r="H137" s="74"/>
      <c r="I137" s="74"/>
      <c r="J137" s="74"/>
      <c r="K137" s="74"/>
      <c r="L137" s="74"/>
      <c r="O137" s="74"/>
    </row>
    <row r="138" spans="1:15" x14ac:dyDescent="0.3">
      <c r="A138" s="74"/>
      <c r="B138" s="74"/>
      <c r="C138" s="74"/>
      <c r="D138" s="74"/>
      <c r="H138" s="74"/>
      <c r="I138" s="74"/>
      <c r="J138" s="74"/>
      <c r="K138" s="74"/>
      <c r="L138" s="74"/>
      <c r="O138" s="74"/>
    </row>
    <row r="139" spans="1:15" x14ac:dyDescent="0.3">
      <c r="A139" s="74"/>
      <c r="B139" s="74"/>
      <c r="C139" s="74"/>
      <c r="D139" s="74"/>
      <c r="H139" s="74"/>
      <c r="I139" s="74"/>
      <c r="J139" s="74"/>
      <c r="K139" s="74"/>
      <c r="L139" s="74"/>
      <c r="O139" s="74"/>
    </row>
    <row r="140" spans="1:15" x14ac:dyDescent="0.3">
      <c r="A140" s="74"/>
      <c r="B140" s="74"/>
      <c r="C140" s="74"/>
      <c r="D140" s="74"/>
      <c r="H140" s="74"/>
      <c r="I140" s="74"/>
      <c r="J140" s="74"/>
      <c r="K140" s="74"/>
      <c r="L140" s="74"/>
      <c r="O140" s="74"/>
    </row>
    <row r="141" spans="1:15" x14ac:dyDescent="0.3">
      <c r="A141" s="74"/>
      <c r="B141" s="74"/>
      <c r="C141" s="74"/>
      <c r="D141" s="74"/>
      <c r="H141" s="74"/>
      <c r="I141" s="74"/>
      <c r="J141" s="74"/>
      <c r="K141" s="74"/>
      <c r="L141" s="74"/>
      <c r="O141" s="74"/>
    </row>
    <row r="142" spans="1:15" x14ac:dyDescent="0.3">
      <c r="A142" s="74"/>
      <c r="B142" s="74"/>
      <c r="C142" s="74"/>
      <c r="D142" s="74"/>
      <c r="H142" s="74"/>
      <c r="I142" s="74"/>
      <c r="J142" s="74"/>
      <c r="K142" s="74"/>
      <c r="L142" s="74"/>
      <c r="O142" s="74"/>
    </row>
    <row r="143" spans="1:15" x14ac:dyDescent="0.3">
      <c r="A143" s="74"/>
      <c r="B143" s="74"/>
      <c r="C143" s="74"/>
      <c r="D143" s="74"/>
      <c r="H143" s="74"/>
      <c r="I143" s="74"/>
      <c r="J143" s="74"/>
      <c r="K143" s="74"/>
      <c r="L143" s="74"/>
      <c r="O143" s="74"/>
    </row>
    <row r="144" spans="1:15" x14ac:dyDescent="0.3">
      <c r="A144" s="74"/>
      <c r="B144" s="74"/>
      <c r="C144" s="74"/>
      <c r="D144" s="74"/>
      <c r="H144" s="74"/>
      <c r="I144" s="74"/>
      <c r="J144" s="74"/>
      <c r="K144" s="74"/>
      <c r="L144" s="74"/>
      <c r="O144" s="74"/>
    </row>
    <row r="145" spans="1:15" x14ac:dyDescent="0.3">
      <c r="A145" s="74"/>
      <c r="B145" s="74"/>
      <c r="C145" s="74"/>
      <c r="D145" s="74"/>
      <c r="H145" s="74"/>
      <c r="I145" s="74"/>
      <c r="J145" s="74"/>
      <c r="K145" s="74"/>
      <c r="L145" s="74"/>
      <c r="O145" s="74"/>
    </row>
    <row r="146" spans="1:15" x14ac:dyDescent="0.3">
      <c r="A146" s="74"/>
      <c r="B146" s="74"/>
      <c r="C146" s="74"/>
      <c r="D146" s="74"/>
      <c r="H146" s="74"/>
      <c r="I146" s="74"/>
      <c r="J146" s="74"/>
      <c r="K146" s="74"/>
      <c r="L146" s="74"/>
      <c r="O146" s="74"/>
    </row>
    <row r="147" spans="1:15" x14ac:dyDescent="0.3">
      <c r="A147" s="74"/>
      <c r="B147" s="74"/>
      <c r="C147" s="74"/>
      <c r="D147" s="74"/>
      <c r="H147" s="74"/>
      <c r="I147" s="74"/>
      <c r="J147" s="74"/>
      <c r="K147" s="74"/>
      <c r="L147" s="74"/>
      <c r="O147" s="74"/>
    </row>
    <row r="148" spans="1:15" x14ac:dyDescent="0.3">
      <c r="A148" s="74"/>
      <c r="B148" s="74"/>
      <c r="C148" s="74"/>
      <c r="D148" s="74"/>
      <c r="H148" s="74"/>
      <c r="I148" s="74"/>
      <c r="J148" s="74"/>
      <c r="K148" s="74"/>
      <c r="L148" s="74"/>
      <c r="O148" s="74"/>
    </row>
    <row r="149" spans="1:15" x14ac:dyDescent="0.3">
      <c r="A149" s="74"/>
      <c r="B149" s="74"/>
      <c r="C149" s="74"/>
      <c r="D149" s="74"/>
      <c r="H149" s="74"/>
      <c r="I149" s="74"/>
      <c r="J149" s="74"/>
      <c r="K149" s="74"/>
      <c r="L149" s="74"/>
      <c r="O149" s="74"/>
    </row>
    <row r="150" spans="1:15" x14ac:dyDescent="0.3">
      <c r="A150" s="74"/>
      <c r="B150" s="74"/>
      <c r="C150" s="74"/>
      <c r="D150" s="74"/>
      <c r="H150" s="74"/>
      <c r="I150" s="74"/>
      <c r="J150" s="74"/>
      <c r="K150" s="74"/>
      <c r="L150" s="74"/>
      <c r="O150" s="74"/>
    </row>
    <row r="151" spans="1:15" x14ac:dyDescent="0.3">
      <c r="A151" s="74"/>
      <c r="B151" s="74"/>
      <c r="C151" s="74"/>
      <c r="D151" s="74"/>
      <c r="H151" s="74"/>
      <c r="I151" s="74"/>
      <c r="J151" s="74"/>
      <c r="K151" s="74"/>
      <c r="L151" s="74"/>
      <c r="O151" s="74"/>
    </row>
    <row r="152" spans="1:15" x14ac:dyDescent="0.3">
      <c r="A152" s="74"/>
      <c r="B152" s="74"/>
      <c r="C152" s="74"/>
      <c r="D152" s="74"/>
      <c r="H152" s="74"/>
      <c r="I152" s="74"/>
      <c r="J152" s="74"/>
      <c r="K152" s="74"/>
      <c r="L152" s="74"/>
      <c r="O152" s="74"/>
    </row>
    <row r="153" spans="1:15" x14ac:dyDescent="0.3">
      <c r="A153" s="74"/>
      <c r="B153" s="74"/>
      <c r="C153" s="74"/>
      <c r="D153" s="74"/>
      <c r="H153" s="74"/>
      <c r="I153" s="74"/>
      <c r="J153" s="74"/>
      <c r="K153" s="74"/>
      <c r="L153" s="74"/>
      <c r="O153" s="74"/>
    </row>
    <row r="154" spans="1:15" x14ac:dyDescent="0.3">
      <c r="A154" s="74"/>
      <c r="B154" s="74"/>
      <c r="C154" s="74"/>
      <c r="D154" s="74"/>
      <c r="H154" s="74"/>
      <c r="I154" s="74"/>
      <c r="J154" s="74"/>
      <c r="K154" s="74"/>
      <c r="L154" s="74"/>
      <c r="O154" s="74"/>
    </row>
    <row r="155" spans="1:15" x14ac:dyDescent="0.3">
      <c r="A155" s="74"/>
      <c r="B155" s="74"/>
      <c r="C155" s="74"/>
      <c r="D155" s="74"/>
      <c r="H155" s="74"/>
      <c r="I155" s="74"/>
      <c r="J155" s="74"/>
      <c r="K155" s="74"/>
      <c r="L155" s="74"/>
      <c r="O155" s="74"/>
    </row>
    <row r="156" spans="1:15" x14ac:dyDescent="0.3">
      <c r="A156" s="74"/>
      <c r="B156" s="74"/>
      <c r="C156" s="74"/>
      <c r="D156" s="74"/>
      <c r="H156" s="74"/>
      <c r="I156" s="74"/>
      <c r="J156" s="74"/>
      <c r="K156" s="74"/>
      <c r="L156" s="74"/>
      <c r="O156" s="74"/>
    </row>
    <row r="157" spans="1:15" x14ac:dyDescent="0.3">
      <c r="A157" s="74"/>
      <c r="B157" s="74"/>
      <c r="C157" s="74"/>
      <c r="D157" s="74"/>
      <c r="H157" s="74"/>
      <c r="I157" s="74"/>
      <c r="J157" s="74"/>
      <c r="K157" s="74"/>
      <c r="L157" s="74"/>
      <c r="O157" s="74"/>
    </row>
    <row r="158" spans="1:15" x14ac:dyDescent="0.3">
      <c r="A158" s="74"/>
      <c r="B158" s="74"/>
      <c r="C158" s="74"/>
      <c r="D158" s="74"/>
      <c r="H158" s="74"/>
      <c r="I158" s="74"/>
      <c r="J158" s="74"/>
      <c r="K158" s="74"/>
      <c r="L158" s="74"/>
      <c r="O158" s="74"/>
    </row>
    <row r="159" spans="1:15" x14ac:dyDescent="0.3">
      <c r="A159" s="74"/>
      <c r="B159" s="74"/>
      <c r="C159" s="74"/>
      <c r="D159" s="74"/>
      <c r="H159" s="74"/>
      <c r="I159" s="74"/>
      <c r="J159" s="74"/>
      <c r="K159" s="74"/>
      <c r="L159" s="74"/>
      <c r="O159" s="74"/>
    </row>
    <row r="160" spans="1:15" x14ac:dyDescent="0.3">
      <c r="A160" s="74"/>
      <c r="B160" s="74"/>
      <c r="C160" s="74"/>
      <c r="D160" s="74"/>
      <c r="H160" s="74"/>
      <c r="I160" s="74"/>
      <c r="J160" s="74"/>
      <c r="K160" s="74"/>
      <c r="L160" s="74"/>
      <c r="O160" s="74"/>
    </row>
    <row r="161" spans="1:15" x14ac:dyDescent="0.3">
      <c r="A161" s="74"/>
      <c r="B161" s="74"/>
      <c r="C161" s="74"/>
      <c r="D161" s="74"/>
      <c r="H161" s="74"/>
      <c r="I161" s="74"/>
      <c r="J161" s="74"/>
      <c r="K161" s="74"/>
      <c r="L161" s="74"/>
      <c r="O161" s="74"/>
    </row>
    <row r="162" spans="1:15" x14ac:dyDescent="0.3">
      <c r="A162" s="74"/>
      <c r="B162" s="74"/>
      <c r="C162" s="74"/>
      <c r="D162" s="74"/>
      <c r="H162" s="74"/>
      <c r="I162" s="74"/>
      <c r="J162" s="74"/>
      <c r="K162" s="74"/>
      <c r="L162" s="74"/>
      <c r="O162" s="74"/>
    </row>
    <row r="163" spans="1:15" x14ac:dyDescent="0.3">
      <c r="A163" s="74"/>
      <c r="B163" s="74"/>
      <c r="C163" s="74"/>
      <c r="D163" s="74"/>
      <c r="H163" s="74"/>
      <c r="I163" s="74"/>
      <c r="J163" s="74"/>
      <c r="K163" s="74"/>
      <c r="L163" s="74"/>
      <c r="O163" s="74"/>
    </row>
    <row r="164" spans="1:15" x14ac:dyDescent="0.3">
      <c r="A164" s="74"/>
      <c r="B164" s="74"/>
      <c r="C164" s="74"/>
      <c r="D164" s="74"/>
      <c r="H164" s="74"/>
      <c r="I164" s="74"/>
      <c r="J164" s="74"/>
      <c r="K164" s="74"/>
      <c r="L164" s="74"/>
      <c r="O164" s="74"/>
    </row>
    <row r="165" spans="1:15" x14ac:dyDescent="0.3">
      <c r="A165" s="74"/>
      <c r="B165" s="74"/>
      <c r="C165" s="74"/>
      <c r="D165" s="74"/>
      <c r="H165" s="74"/>
      <c r="I165" s="74"/>
      <c r="J165" s="74"/>
      <c r="K165" s="74"/>
      <c r="L165" s="74"/>
      <c r="O165" s="74"/>
    </row>
    <row r="166" spans="1:15" x14ac:dyDescent="0.3">
      <c r="A166" s="74"/>
      <c r="B166" s="74"/>
      <c r="C166" s="74"/>
      <c r="D166" s="74"/>
      <c r="H166" s="74"/>
      <c r="I166" s="74"/>
      <c r="J166" s="74"/>
      <c r="K166" s="74"/>
      <c r="L166" s="74"/>
      <c r="O166" s="74"/>
    </row>
    <row r="167" spans="1:15" x14ac:dyDescent="0.3">
      <c r="A167" s="74"/>
      <c r="B167" s="74"/>
      <c r="C167" s="74"/>
      <c r="D167" s="74"/>
      <c r="H167" s="74"/>
      <c r="I167" s="74"/>
      <c r="J167" s="74"/>
      <c r="K167" s="74"/>
      <c r="L167" s="74"/>
      <c r="O167" s="74"/>
    </row>
    <row r="168" spans="1:15" x14ac:dyDescent="0.3">
      <c r="A168" s="74"/>
      <c r="B168" s="74"/>
      <c r="C168" s="74"/>
      <c r="D168" s="74"/>
      <c r="H168" s="74"/>
      <c r="I168" s="74"/>
      <c r="J168" s="74"/>
      <c r="K168" s="74"/>
      <c r="L168" s="74"/>
      <c r="O168" s="74"/>
    </row>
    <row r="169" spans="1:15" x14ac:dyDescent="0.3">
      <c r="A169" s="74"/>
      <c r="B169" s="74"/>
      <c r="C169" s="74"/>
      <c r="D169" s="74"/>
      <c r="H169" s="74"/>
      <c r="I169" s="74"/>
      <c r="J169" s="74"/>
      <c r="K169" s="74"/>
      <c r="L169" s="74"/>
      <c r="O169" s="74"/>
    </row>
    <row r="170" spans="1:15" x14ac:dyDescent="0.3">
      <c r="A170" s="74"/>
      <c r="B170" s="74"/>
      <c r="C170" s="74"/>
      <c r="D170" s="74"/>
      <c r="H170" s="74"/>
      <c r="I170" s="74"/>
      <c r="J170" s="74"/>
      <c r="K170" s="74"/>
      <c r="L170" s="74"/>
      <c r="O170" s="74"/>
    </row>
    <row r="171" spans="1:15" x14ac:dyDescent="0.3">
      <c r="A171" s="74"/>
      <c r="B171" s="74"/>
      <c r="C171" s="74"/>
      <c r="D171" s="74"/>
      <c r="H171" s="74"/>
      <c r="I171" s="74"/>
      <c r="J171" s="74"/>
      <c r="K171" s="74"/>
      <c r="L171" s="74"/>
      <c r="O171" s="74"/>
    </row>
    <row r="172" spans="1:15" x14ac:dyDescent="0.3">
      <c r="A172" s="74"/>
      <c r="B172" s="74"/>
      <c r="C172" s="74"/>
      <c r="D172" s="74"/>
      <c r="H172" s="74"/>
      <c r="I172" s="74"/>
      <c r="J172" s="74"/>
      <c r="K172" s="74"/>
      <c r="L172" s="74"/>
      <c r="O172" s="74"/>
    </row>
    <row r="173" spans="1:15" x14ac:dyDescent="0.3">
      <c r="A173" s="74"/>
      <c r="B173" s="74"/>
      <c r="C173" s="74"/>
      <c r="D173" s="74"/>
      <c r="H173" s="74"/>
      <c r="I173" s="74"/>
      <c r="J173" s="74"/>
      <c r="K173" s="74"/>
      <c r="L173" s="74"/>
      <c r="O173" s="74"/>
    </row>
    <row r="174" spans="1:15" x14ac:dyDescent="0.3">
      <c r="A174" s="74"/>
      <c r="B174" s="74"/>
      <c r="C174" s="74"/>
      <c r="D174" s="74"/>
      <c r="H174" s="74"/>
      <c r="I174" s="74"/>
      <c r="J174" s="74"/>
      <c r="K174" s="74"/>
      <c r="L174" s="74"/>
      <c r="O174" s="74"/>
    </row>
    <row r="175" spans="1:15" x14ac:dyDescent="0.3">
      <c r="A175" s="74"/>
      <c r="B175" s="74"/>
      <c r="C175" s="74"/>
      <c r="D175" s="74"/>
      <c r="H175" s="74"/>
      <c r="I175" s="74"/>
      <c r="J175" s="74"/>
      <c r="K175" s="74"/>
      <c r="L175" s="74"/>
      <c r="O175" s="74"/>
    </row>
    <row r="176" spans="1:15" x14ac:dyDescent="0.3">
      <c r="A176" s="74"/>
      <c r="B176" s="74"/>
      <c r="C176" s="74"/>
      <c r="D176" s="74"/>
      <c r="H176" s="74"/>
      <c r="I176" s="74"/>
      <c r="J176" s="74"/>
      <c r="K176" s="74"/>
      <c r="L176" s="74"/>
      <c r="O176" s="74"/>
    </row>
    <row r="177" spans="1:15" x14ac:dyDescent="0.3">
      <c r="A177" s="74"/>
      <c r="B177" s="74"/>
      <c r="C177" s="74"/>
      <c r="D177" s="74"/>
      <c r="H177" s="74"/>
      <c r="I177" s="74"/>
      <c r="J177" s="74"/>
      <c r="K177" s="74"/>
      <c r="L177" s="74"/>
      <c r="O177" s="74"/>
    </row>
    <row r="178" spans="1:15" x14ac:dyDescent="0.3">
      <c r="A178" s="74"/>
      <c r="B178" s="74"/>
      <c r="C178" s="74"/>
      <c r="D178" s="74"/>
      <c r="H178" s="74"/>
      <c r="I178" s="74"/>
      <c r="J178" s="74"/>
      <c r="K178" s="74"/>
      <c r="L178" s="74"/>
      <c r="O178" s="74"/>
    </row>
    <row r="179" spans="1:15" x14ac:dyDescent="0.3">
      <c r="A179" s="74"/>
      <c r="B179" s="74"/>
      <c r="C179" s="74"/>
      <c r="D179" s="74"/>
      <c r="H179" s="74"/>
      <c r="I179" s="74"/>
      <c r="J179" s="74"/>
      <c r="K179" s="74"/>
      <c r="L179" s="74"/>
      <c r="O179" s="74"/>
    </row>
    <row r="180" spans="1:15" x14ac:dyDescent="0.3">
      <c r="A180" s="74"/>
      <c r="B180" s="74"/>
      <c r="C180" s="74"/>
      <c r="D180" s="74"/>
      <c r="H180" s="74"/>
      <c r="I180" s="74"/>
      <c r="J180" s="74"/>
      <c r="K180" s="74"/>
      <c r="L180" s="74"/>
      <c r="O180" s="74"/>
    </row>
    <row r="181" spans="1:15" x14ac:dyDescent="0.3">
      <c r="A181" s="74"/>
      <c r="B181" s="74"/>
      <c r="C181" s="74"/>
      <c r="D181" s="74"/>
      <c r="H181" s="74"/>
      <c r="I181" s="74"/>
      <c r="J181" s="74"/>
      <c r="K181" s="74"/>
      <c r="L181" s="74"/>
      <c r="O181" s="74"/>
    </row>
    <row r="182" spans="1:15" x14ac:dyDescent="0.3">
      <c r="A182" s="74"/>
      <c r="B182" s="74"/>
      <c r="C182" s="74"/>
      <c r="D182" s="74"/>
      <c r="H182" s="74"/>
      <c r="I182" s="74"/>
      <c r="J182" s="74"/>
      <c r="K182" s="74"/>
      <c r="L182" s="74"/>
      <c r="O182" s="74"/>
    </row>
    <row r="183" spans="1:15" x14ac:dyDescent="0.3">
      <c r="A183" s="74"/>
      <c r="B183" s="74"/>
      <c r="C183" s="74"/>
      <c r="D183" s="74"/>
      <c r="H183" s="74"/>
      <c r="I183" s="74"/>
      <c r="J183" s="74"/>
      <c r="K183" s="74"/>
      <c r="L183" s="74"/>
      <c r="O183" s="74"/>
    </row>
    <row r="184" spans="1:15" x14ac:dyDescent="0.3">
      <c r="A184" s="74"/>
      <c r="B184" s="74"/>
      <c r="C184" s="74"/>
      <c r="D184" s="74"/>
      <c r="H184" s="74"/>
      <c r="I184" s="74"/>
      <c r="J184" s="74"/>
      <c r="K184" s="74"/>
      <c r="L184" s="74"/>
      <c r="O184" s="74"/>
    </row>
    <row r="185" spans="1:15" x14ac:dyDescent="0.3">
      <c r="A185" s="74"/>
      <c r="B185" s="74"/>
      <c r="C185" s="74"/>
      <c r="D185" s="74"/>
      <c r="H185" s="74"/>
      <c r="I185" s="74"/>
      <c r="J185" s="74"/>
      <c r="K185" s="74"/>
      <c r="L185" s="74"/>
      <c r="O185" s="74"/>
    </row>
    <row r="186" spans="1:15" x14ac:dyDescent="0.3">
      <c r="A186" s="74"/>
      <c r="B186" s="74"/>
      <c r="C186" s="74"/>
      <c r="D186" s="74"/>
      <c r="H186" s="74"/>
      <c r="I186" s="74"/>
      <c r="J186" s="74"/>
      <c r="K186" s="74"/>
      <c r="L186" s="74"/>
      <c r="O186" s="74"/>
    </row>
    <row r="187" spans="1:15" x14ac:dyDescent="0.3">
      <c r="A187" s="74"/>
      <c r="B187" s="74"/>
      <c r="C187" s="74"/>
      <c r="D187" s="74"/>
      <c r="H187" s="74"/>
      <c r="I187" s="74"/>
      <c r="J187" s="74"/>
      <c r="K187" s="74"/>
      <c r="L187" s="74"/>
      <c r="O187" s="74"/>
    </row>
    <row r="188" spans="1:15" x14ac:dyDescent="0.3">
      <c r="A188" s="74"/>
      <c r="B188" s="74"/>
      <c r="C188" s="74"/>
      <c r="D188" s="74"/>
      <c r="H188" s="74"/>
      <c r="I188" s="74"/>
      <c r="J188" s="74"/>
      <c r="K188" s="74"/>
      <c r="L188" s="74"/>
      <c r="O188" s="74"/>
    </row>
    <row r="189" spans="1:15" x14ac:dyDescent="0.3">
      <c r="A189" s="74"/>
      <c r="B189" s="74"/>
      <c r="C189" s="74"/>
      <c r="D189" s="74"/>
      <c r="H189" s="74"/>
      <c r="I189" s="74"/>
      <c r="J189" s="74"/>
      <c r="K189" s="74"/>
      <c r="L189" s="74"/>
      <c r="O189" s="74"/>
    </row>
    <row r="190" spans="1:15" x14ac:dyDescent="0.3">
      <c r="A190" s="74"/>
      <c r="B190" s="74"/>
      <c r="C190" s="74"/>
      <c r="D190" s="74"/>
      <c r="H190" s="74"/>
      <c r="I190" s="74"/>
      <c r="J190" s="74"/>
      <c r="K190" s="74"/>
      <c r="L190" s="74"/>
      <c r="O190" s="74"/>
    </row>
    <row r="191" spans="1:15" x14ac:dyDescent="0.3">
      <c r="A191" s="74"/>
      <c r="B191" s="74"/>
      <c r="C191" s="74"/>
      <c r="D191" s="74"/>
      <c r="H191" s="74"/>
      <c r="I191" s="74"/>
      <c r="J191" s="74"/>
      <c r="K191" s="74"/>
      <c r="L191" s="74"/>
      <c r="O191" s="74"/>
    </row>
    <row r="192" spans="1:15" x14ac:dyDescent="0.3">
      <c r="A192" s="74"/>
      <c r="B192" s="74"/>
      <c r="C192" s="74"/>
      <c r="D192" s="74"/>
      <c r="H192" s="74"/>
      <c r="I192" s="74"/>
      <c r="J192" s="74"/>
      <c r="K192" s="74"/>
      <c r="L192" s="74"/>
      <c r="O192" s="74"/>
    </row>
    <row r="193" spans="1:15" x14ac:dyDescent="0.3">
      <c r="A193" s="74"/>
      <c r="B193" s="74"/>
      <c r="C193" s="74"/>
      <c r="D193" s="74"/>
      <c r="H193" s="74"/>
      <c r="I193" s="74"/>
      <c r="J193" s="74"/>
      <c r="K193" s="74"/>
      <c r="L193" s="74"/>
      <c r="O193" s="74"/>
    </row>
    <row r="194" spans="1:15" x14ac:dyDescent="0.3">
      <c r="A194" s="74"/>
      <c r="B194" s="74"/>
      <c r="C194" s="74"/>
      <c r="D194" s="74"/>
      <c r="H194" s="74"/>
      <c r="I194" s="74"/>
      <c r="J194" s="74"/>
      <c r="K194" s="74"/>
      <c r="L194" s="74"/>
      <c r="O194" s="74"/>
    </row>
    <row r="195" spans="1:15" x14ac:dyDescent="0.3">
      <c r="A195" s="74"/>
      <c r="B195" s="74"/>
      <c r="C195" s="74"/>
      <c r="D195" s="74"/>
      <c r="H195" s="74"/>
      <c r="I195" s="74"/>
      <c r="J195" s="74"/>
      <c r="K195" s="74"/>
      <c r="L195" s="74"/>
      <c r="O195" s="74"/>
    </row>
    <row r="196" spans="1:15" x14ac:dyDescent="0.3">
      <c r="A196" s="74"/>
      <c r="B196" s="74"/>
      <c r="C196" s="74"/>
      <c r="D196" s="74"/>
      <c r="H196" s="74"/>
      <c r="I196" s="74"/>
      <c r="J196" s="74"/>
      <c r="K196" s="74"/>
      <c r="L196" s="74"/>
      <c r="O196" s="74"/>
    </row>
    <row r="197" spans="1:15" x14ac:dyDescent="0.3">
      <c r="A197" s="74"/>
      <c r="B197" s="74"/>
      <c r="C197" s="74"/>
      <c r="D197" s="74"/>
      <c r="H197" s="74"/>
      <c r="I197" s="74"/>
      <c r="J197" s="74"/>
      <c r="K197" s="74"/>
      <c r="L197" s="74"/>
      <c r="O197" s="74"/>
    </row>
    <row r="198" spans="1:15" x14ac:dyDescent="0.3">
      <c r="A198" s="74"/>
      <c r="B198" s="74"/>
      <c r="C198" s="74"/>
      <c r="D198" s="74"/>
      <c r="H198" s="74"/>
      <c r="I198" s="74"/>
      <c r="J198" s="74"/>
      <c r="K198" s="74"/>
      <c r="L198" s="74"/>
      <c r="O198" s="74"/>
    </row>
    <row r="199" spans="1:15" x14ac:dyDescent="0.3">
      <c r="A199" s="74"/>
      <c r="B199" s="74"/>
      <c r="C199" s="74"/>
      <c r="D199" s="74"/>
      <c r="H199" s="74"/>
      <c r="I199" s="74"/>
      <c r="J199" s="74"/>
      <c r="K199" s="74"/>
      <c r="L199" s="74"/>
      <c r="O199" s="74"/>
    </row>
    <row r="200" spans="1:15" x14ac:dyDescent="0.3">
      <c r="A200" s="74"/>
      <c r="B200" s="74"/>
      <c r="C200" s="74"/>
      <c r="D200" s="74"/>
      <c r="H200" s="74"/>
      <c r="I200" s="74"/>
      <c r="J200" s="74"/>
      <c r="K200" s="74"/>
      <c r="L200" s="74"/>
      <c r="O200" s="74"/>
    </row>
    <row r="201" spans="1:15" x14ac:dyDescent="0.3">
      <c r="A201" s="74"/>
      <c r="B201" s="74"/>
      <c r="C201" s="74"/>
      <c r="D201" s="74"/>
      <c r="H201" s="74"/>
      <c r="I201" s="74"/>
      <c r="J201" s="74"/>
      <c r="K201" s="74"/>
      <c r="L201" s="74"/>
      <c r="O201" s="74"/>
    </row>
    <row r="202" spans="1:15" x14ac:dyDescent="0.3">
      <c r="A202" s="74"/>
      <c r="B202" s="74"/>
      <c r="C202" s="74"/>
      <c r="D202" s="74"/>
      <c r="H202" s="74"/>
      <c r="I202" s="74"/>
      <c r="J202" s="74"/>
      <c r="K202" s="74"/>
      <c r="L202" s="74"/>
      <c r="O202" s="74"/>
    </row>
    <row r="203" spans="1:15" x14ac:dyDescent="0.3">
      <c r="A203" s="74"/>
      <c r="B203" s="74"/>
      <c r="C203" s="74"/>
      <c r="D203" s="74"/>
      <c r="H203" s="74"/>
      <c r="I203" s="74"/>
      <c r="J203" s="74"/>
      <c r="K203" s="74"/>
      <c r="L203" s="74"/>
      <c r="O203" s="74"/>
    </row>
    <row r="204" spans="1:15" x14ac:dyDescent="0.3">
      <c r="A204" s="74"/>
      <c r="B204" s="74"/>
      <c r="C204" s="74"/>
      <c r="D204" s="74"/>
      <c r="H204" s="74"/>
      <c r="I204" s="74"/>
      <c r="J204" s="74"/>
      <c r="K204" s="74"/>
      <c r="L204" s="74"/>
      <c r="O204" s="74"/>
    </row>
    <row r="205" spans="1:15" x14ac:dyDescent="0.3">
      <c r="A205" s="74"/>
      <c r="B205" s="74"/>
      <c r="C205" s="74"/>
      <c r="D205" s="74"/>
      <c r="H205" s="74"/>
      <c r="I205" s="74"/>
      <c r="J205" s="74"/>
      <c r="K205" s="74"/>
      <c r="L205" s="74"/>
      <c r="O205" s="74"/>
    </row>
    <row r="206" spans="1:15" x14ac:dyDescent="0.3">
      <c r="A206" s="74"/>
      <c r="B206" s="74"/>
      <c r="C206" s="74"/>
      <c r="D206" s="74"/>
      <c r="H206" s="74"/>
      <c r="I206" s="74"/>
      <c r="J206" s="74"/>
      <c r="K206" s="74"/>
      <c r="L206" s="74"/>
      <c r="O206" s="74"/>
    </row>
    <row r="207" spans="1:15" x14ac:dyDescent="0.3">
      <c r="A207" s="74"/>
      <c r="B207" s="74"/>
      <c r="C207" s="74"/>
      <c r="D207" s="74"/>
      <c r="H207" s="74"/>
      <c r="I207" s="74"/>
      <c r="J207" s="74"/>
      <c r="K207" s="74"/>
      <c r="L207" s="74"/>
      <c r="O207" s="74"/>
    </row>
    <row r="208" spans="1:15" x14ac:dyDescent="0.3">
      <c r="A208" s="74"/>
      <c r="B208" s="74"/>
      <c r="C208" s="74"/>
      <c r="D208" s="74"/>
      <c r="H208" s="74"/>
      <c r="I208" s="74"/>
      <c r="J208" s="74"/>
      <c r="K208" s="74"/>
      <c r="L208" s="74"/>
      <c r="O208" s="74"/>
    </row>
    <row r="209" spans="1:15" x14ac:dyDescent="0.3">
      <c r="A209" s="74"/>
      <c r="B209" s="74"/>
      <c r="C209" s="74"/>
      <c r="D209" s="74"/>
      <c r="H209" s="74"/>
      <c r="I209" s="74"/>
      <c r="J209" s="74"/>
      <c r="K209" s="74"/>
      <c r="L209" s="74"/>
      <c r="O209" s="74"/>
    </row>
    <row r="210" spans="1:15" x14ac:dyDescent="0.3">
      <c r="A210" s="74"/>
      <c r="B210" s="74"/>
      <c r="C210" s="74"/>
      <c r="D210" s="74"/>
      <c r="H210" s="74"/>
      <c r="I210" s="74"/>
      <c r="J210" s="74"/>
      <c r="K210" s="74"/>
      <c r="L210" s="74"/>
      <c r="O210" s="74"/>
    </row>
    <row r="211" spans="1:15" x14ac:dyDescent="0.3">
      <c r="A211" s="74"/>
      <c r="B211" s="74"/>
      <c r="C211" s="74"/>
      <c r="D211" s="74"/>
      <c r="H211" s="74"/>
      <c r="I211" s="74"/>
      <c r="J211" s="74"/>
      <c r="K211" s="74"/>
      <c r="L211" s="74"/>
      <c r="O211" s="74"/>
    </row>
    <row r="212" spans="1:15" x14ac:dyDescent="0.3">
      <c r="A212" s="74"/>
      <c r="B212" s="74"/>
      <c r="C212" s="74"/>
      <c r="D212" s="74"/>
      <c r="H212" s="74"/>
      <c r="I212" s="74"/>
      <c r="J212" s="74"/>
      <c r="K212" s="74"/>
      <c r="L212" s="74"/>
      <c r="O212" s="74"/>
    </row>
    <row r="213" spans="1:15" x14ac:dyDescent="0.3">
      <c r="A213" s="74"/>
      <c r="B213" s="74"/>
      <c r="C213" s="74"/>
      <c r="D213" s="74"/>
      <c r="H213" s="74"/>
      <c r="I213" s="74"/>
      <c r="J213" s="74"/>
      <c r="K213" s="74"/>
      <c r="L213" s="74"/>
      <c r="O213" s="74"/>
    </row>
    <row r="214" spans="1:15" x14ac:dyDescent="0.3">
      <c r="A214" s="74"/>
      <c r="B214" s="74"/>
      <c r="C214" s="74"/>
      <c r="D214" s="74"/>
      <c r="H214" s="74"/>
      <c r="I214" s="74"/>
      <c r="J214" s="74"/>
      <c r="K214" s="74"/>
      <c r="L214" s="74"/>
      <c r="O214" s="74"/>
    </row>
    <row r="215" spans="1:15" x14ac:dyDescent="0.3">
      <c r="A215" s="74"/>
      <c r="B215" s="74"/>
      <c r="C215" s="74"/>
      <c r="D215" s="74"/>
      <c r="H215" s="74"/>
      <c r="I215" s="74"/>
      <c r="J215" s="74"/>
      <c r="K215" s="74"/>
      <c r="L215" s="74"/>
      <c r="O215" s="74"/>
    </row>
    <row r="216" spans="1:15" x14ac:dyDescent="0.3">
      <c r="A216" s="74"/>
      <c r="B216" s="74"/>
      <c r="C216" s="74"/>
      <c r="D216" s="74"/>
      <c r="H216" s="74"/>
      <c r="I216" s="74"/>
      <c r="J216" s="74"/>
      <c r="K216" s="74"/>
      <c r="L216" s="74"/>
      <c r="O216" s="74"/>
    </row>
    <row r="217" spans="1:15" x14ac:dyDescent="0.3">
      <c r="A217" s="74"/>
      <c r="B217" s="74"/>
      <c r="C217" s="74"/>
      <c r="D217" s="74"/>
      <c r="H217" s="74"/>
      <c r="I217" s="74"/>
      <c r="J217" s="74"/>
      <c r="K217" s="74"/>
      <c r="L217" s="74"/>
      <c r="O217" s="74"/>
    </row>
    <row r="218" spans="1:15" x14ac:dyDescent="0.3">
      <c r="A218" s="74"/>
      <c r="B218" s="74"/>
      <c r="C218" s="74"/>
      <c r="D218" s="74"/>
      <c r="H218" s="74"/>
      <c r="I218" s="74"/>
      <c r="J218" s="74"/>
      <c r="K218" s="74"/>
      <c r="L218" s="74"/>
      <c r="O218" s="74"/>
    </row>
    <row r="219" spans="1:15" x14ac:dyDescent="0.3">
      <c r="A219" s="74"/>
      <c r="B219" s="74"/>
      <c r="C219" s="74"/>
      <c r="D219" s="74"/>
      <c r="H219" s="74"/>
      <c r="I219" s="74"/>
      <c r="J219" s="74"/>
      <c r="K219" s="74"/>
      <c r="L219" s="74"/>
      <c r="O219" s="74"/>
    </row>
    <row r="220" spans="1:15" x14ac:dyDescent="0.3">
      <c r="A220" s="74"/>
      <c r="B220" s="74"/>
      <c r="C220" s="74"/>
      <c r="D220" s="74"/>
      <c r="H220" s="74"/>
      <c r="I220" s="74"/>
      <c r="J220" s="74"/>
      <c r="K220" s="74"/>
      <c r="L220" s="74"/>
      <c r="O220" s="74"/>
    </row>
    <row r="221" spans="1:15" x14ac:dyDescent="0.3">
      <c r="A221" s="74"/>
      <c r="B221" s="74"/>
      <c r="C221" s="74"/>
      <c r="D221" s="74"/>
      <c r="H221" s="74"/>
      <c r="I221" s="74"/>
      <c r="J221" s="74"/>
      <c r="K221" s="74"/>
      <c r="L221" s="74"/>
      <c r="O221" s="74"/>
    </row>
    <row r="222" spans="1:15" x14ac:dyDescent="0.3">
      <c r="A222" s="74"/>
      <c r="B222" s="74"/>
      <c r="C222" s="74"/>
      <c r="D222" s="74"/>
      <c r="H222" s="74"/>
      <c r="I222" s="74"/>
      <c r="J222" s="74"/>
      <c r="K222" s="74"/>
      <c r="L222" s="74"/>
      <c r="O222" s="74"/>
    </row>
    <row r="223" spans="1:15" x14ac:dyDescent="0.3">
      <c r="A223" s="74"/>
      <c r="B223" s="74"/>
      <c r="C223" s="74"/>
      <c r="D223" s="74"/>
      <c r="H223" s="74"/>
      <c r="I223" s="74"/>
      <c r="J223" s="74"/>
      <c r="K223" s="74"/>
      <c r="L223" s="74"/>
      <c r="O223" s="74"/>
    </row>
    <row r="224" spans="1:15" x14ac:dyDescent="0.3">
      <c r="A224" s="74"/>
      <c r="B224" s="74"/>
      <c r="C224" s="74"/>
      <c r="D224" s="74"/>
      <c r="H224" s="74"/>
      <c r="I224" s="74"/>
      <c r="J224" s="74"/>
      <c r="K224" s="74"/>
      <c r="L224" s="74"/>
      <c r="O224" s="74"/>
    </row>
    <row r="225" spans="1:15" x14ac:dyDescent="0.3">
      <c r="A225" s="74"/>
      <c r="B225" s="74"/>
      <c r="C225" s="74"/>
      <c r="D225" s="74"/>
      <c r="H225" s="74"/>
      <c r="I225" s="74"/>
      <c r="J225" s="74"/>
      <c r="K225" s="74"/>
      <c r="L225" s="74"/>
      <c r="O225" s="74"/>
    </row>
    <row r="226" spans="1:15" x14ac:dyDescent="0.3">
      <c r="A226" s="74"/>
      <c r="B226" s="74"/>
      <c r="C226" s="74"/>
      <c r="D226" s="74"/>
      <c r="H226" s="74"/>
      <c r="I226" s="74"/>
      <c r="J226" s="74"/>
      <c r="K226" s="74"/>
      <c r="L226" s="74"/>
      <c r="O226" s="74"/>
    </row>
    <row r="227" spans="1:15" x14ac:dyDescent="0.3">
      <c r="A227" s="74"/>
      <c r="B227" s="74"/>
      <c r="C227" s="74"/>
      <c r="D227" s="74"/>
      <c r="H227" s="74"/>
      <c r="I227" s="74"/>
      <c r="J227" s="74"/>
      <c r="K227" s="74"/>
      <c r="L227" s="74"/>
      <c r="O227" s="74"/>
    </row>
    <row r="228" spans="1:15" x14ac:dyDescent="0.3">
      <c r="A228" s="74"/>
      <c r="B228" s="74"/>
      <c r="C228" s="74"/>
      <c r="D228" s="74"/>
      <c r="H228" s="74"/>
      <c r="I228" s="74"/>
      <c r="J228" s="74"/>
      <c r="K228" s="74"/>
      <c r="L228" s="74"/>
      <c r="O228" s="74"/>
    </row>
    <row r="229" spans="1:15" x14ac:dyDescent="0.3">
      <c r="A229" s="74"/>
      <c r="B229" s="74"/>
      <c r="C229" s="74"/>
      <c r="D229" s="74"/>
      <c r="H229" s="74"/>
      <c r="I229" s="74"/>
      <c r="J229" s="74"/>
      <c r="K229" s="74"/>
      <c r="L229" s="74"/>
      <c r="O229" s="74"/>
    </row>
    <row r="230" spans="1:15" x14ac:dyDescent="0.3">
      <c r="A230" s="74"/>
      <c r="B230" s="74"/>
      <c r="C230" s="74"/>
      <c r="D230" s="74"/>
      <c r="H230" s="74"/>
      <c r="I230" s="74"/>
      <c r="J230" s="74"/>
      <c r="K230" s="74"/>
      <c r="L230" s="74"/>
      <c r="O230" s="74"/>
    </row>
    <row r="231" spans="1:15" x14ac:dyDescent="0.3">
      <c r="A231" s="74"/>
      <c r="B231" s="74"/>
      <c r="C231" s="74"/>
      <c r="D231" s="74"/>
      <c r="H231" s="74"/>
      <c r="I231" s="74"/>
      <c r="J231" s="74"/>
      <c r="K231" s="74"/>
      <c r="L231" s="74"/>
      <c r="O231" s="74"/>
    </row>
    <row r="232" spans="1:15" x14ac:dyDescent="0.3">
      <c r="A232" s="74"/>
      <c r="B232" s="74"/>
      <c r="C232" s="74"/>
      <c r="D232" s="74"/>
      <c r="H232" s="74"/>
      <c r="I232" s="74"/>
      <c r="J232" s="74"/>
      <c r="K232" s="74"/>
      <c r="L232" s="74"/>
      <c r="O232" s="74"/>
    </row>
    <row r="233" spans="1:15" x14ac:dyDescent="0.3">
      <c r="A233" s="74"/>
      <c r="B233" s="74"/>
      <c r="C233" s="74"/>
      <c r="D233" s="74"/>
      <c r="H233" s="74"/>
      <c r="I233" s="74"/>
      <c r="J233" s="74"/>
      <c r="K233" s="74"/>
      <c r="L233" s="74"/>
      <c r="O233" s="74"/>
    </row>
    <row r="234" spans="1:15" x14ac:dyDescent="0.3">
      <c r="A234" s="74"/>
      <c r="B234" s="74"/>
      <c r="C234" s="74"/>
      <c r="D234" s="74"/>
      <c r="H234" s="74"/>
      <c r="I234" s="74"/>
      <c r="J234" s="74"/>
      <c r="K234" s="74"/>
      <c r="L234" s="74"/>
      <c r="O234" s="74"/>
    </row>
    <row r="235" spans="1:15" x14ac:dyDescent="0.3">
      <c r="A235" s="74"/>
      <c r="B235" s="74"/>
      <c r="C235" s="74"/>
      <c r="D235" s="74"/>
      <c r="H235" s="74"/>
      <c r="I235" s="74"/>
      <c r="J235" s="74"/>
      <c r="K235" s="74"/>
      <c r="L235" s="74"/>
      <c r="O235" s="74"/>
    </row>
    <row r="236" spans="1:15" x14ac:dyDescent="0.3">
      <c r="A236" s="74"/>
      <c r="B236" s="74"/>
      <c r="C236" s="74"/>
      <c r="D236" s="74"/>
      <c r="H236" s="74"/>
      <c r="I236" s="74"/>
      <c r="J236" s="74"/>
      <c r="K236" s="74"/>
      <c r="L236" s="74"/>
      <c r="O236" s="74"/>
    </row>
    <row r="237" spans="1:15" x14ac:dyDescent="0.3">
      <c r="A237" s="74"/>
      <c r="B237" s="74"/>
      <c r="C237" s="74"/>
      <c r="D237" s="74"/>
      <c r="H237" s="74"/>
      <c r="I237" s="74"/>
      <c r="J237" s="74"/>
      <c r="K237" s="74"/>
      <c r="L237" s="74"/>
      <c r="O237" s="74"/>
    </row>
    <row r="238" spans="1:15" x14ac:dyDescent="0.3">
      <c r="A238" s="74"/>
      <c r="B238" s="74"/>
      <c r="C238" s="74"/>
      <c r="D238" s="74"/>
      <c r="H238" s="74"/>
      <c r="I238" s="74"/>
      <c r="J238" s="74"/>
      <c r="K238" s="74"/>
      <c r="L238" s="74"/>
      <c r="O238" s="74"/>
    </row>
    <row r="239" spans="1:15" x14ac:dyDescent="0.3">
      <c r="A239" s="74"/>
      <c r="B239" s="74"/>
      <c r="C239" s="74"/>
      <c r="D239" s="74"/>
      <c r="H239" s="74"/>
      <c r="I239" s="74"/>
      <c r="J239" s="74"/>
      <c r="K239" s="74"/>
      <c r="L239" s="74"/>
      <c r="O239" s="74"/>
    </row>
    <row r="240" spans="1:15" x14ac:dyDescent="0.3">
      <c r="A240" s="74"/>
      <c r="B240" s="74"/>
      <c r="C240" s="74"/>
      <c r="D240" s="74"/>
      <c r="H240" s="74"/>
      <c r="I240" s="74"/>
      <c r="J240" s="74"/>
      <c r="K240" s="74"/>
      <c r="L240" s="74"/>
      <c r="O240" s="74"/>
    </row>
    <row r="241" spans="1:15" x14ac:dyDescent="0.3">
      <c r="A241" s="74"/>
      <c r="B241" s="74"/>
      <c r="C241" s="74"/>
      <c r="D241" s="74"/>
      <c r="H241" s="74"/>
      <c r="I241" s="74"/>
      <c r="J241" s="74"/>
      <c r="K241" s="74"/>
      <c r="L241" s="74"/>
      <c r="O241" s="74"/>
    </row>
    <row r="242" spans="1:15" x14ac:dyDescent="0.3">
      <c r="A242" s="74"/>
      <c r="B242" s="74"/>
      <c r="C242" s="74"/>
      <c r="D242" s="74"/>
      <c r="H242" s="74"/>
      <c r="I242" s="74"/>
      <c r="J242" s="74"/>
      <c r="K242" s="74"/>
      <c r="L242" s="74"/>
      <c r="O242" s="74"/>
    </row>
    <row r="243" spans="1:15" x14ac:dyDescent="0.3">
      <c r="A243" s="74"/>
      <c r="B243" s="74"/>
      <c r="C243" s="74"/>
      <c r="D243" s="74"/>
      <c r="H243" s="74"/>
      <c r="I243" s="74"/>
      <c r="J243" s="74"/>
      <c r="K243" s="74"/>
      <c r="L243" s="74"/>
      <c r="O243" s="74"/>
    </row>
    <row r="244" spans="1:15" x14ac:dyDescent="0.3">
      <c r="A244" s="74"/>
      <c r="B244" s="74"/>
      <c r="C244" s="74"/>
      <c r="D244" s="74"/>
      <c r="H244" s="74"/>
      <c r="I244" s="74"/>
      <c r="J244" s="74"/>
      <c r="K244" s="74"/>
      <c r="L244" s="74"/>
      <c r="O244" s="74"/>
    </row>
    <row r="245" spans="1:15" x14ac:dyDescent="0.3">
      <c r="A245" s="74"/>
      <c r="B245" s="74"/>
      <c r="C245" s="74"/>
      <c r="D245" s="74"/>
      <c r="H245" s="74"/>
      <c r="I245" s="74"/>
      <c r="J245" s="74"/>
      <c r="K245" s="74"/>
      <c r="L245" s="74"/>
      <c r="O245" s="74"/>
    </row>
    <row r="246" spans="1:15" x14ac:dyDescent="0.3">
      <c r="A246" s="74"/>
      <c r="B246" s="74"/>
      <c r="C246" s="74"/>
      <c r="D246" s="74"/>
      <c r="H246" s="74"/>
      <c r="I246" s="74"/>
      <c r="J246" s="74"/>
      <c r="K246" s="74"/>
      <c r="L246" s="74"/>
      <c r="O246" s="74"/>
    </row>
    <row r="247" spans="1:15" x14ac:dyDescent="0.3">
      <c r="A247" s="74"/>
      <c r="B247" s="74"/>
      <c r="C247" s="74"/>
      <c r="D247" s="74"/>
      <c r="H247" s="74"/>
      <c r="I247" s="74"/>
      <c r="J247" s="74"/>
      <c r="K247" s="74"/>
      <c r="L247" s="74"/>
      <c r="O247" s="74"/>
    </row>
    <row r="248" spans="1:15" x14ac:dyDescent="0.3">
      <c r="A248" s="74"/>
      <c r="B248" s="74"/>
      <c r="C248" s="74"/>
      <c r="D248" s="74"/>
      <c r="H248" s="74"/>
      <c r="I248" s="74"/>
      <c r="J248" s="74"/>
      <c r="K248" s="74"/>
      <c r="L248" s="74"/>
      <c r="O248" s="74"/>
    </row>
    <row r="249" spans="1:15" x14ac:dyDescent="0.3">
      <c r="A249" s="74"/>
      <c r="B249" s="74"/>
      <c r="C249" s="74"/>
      <c r="D249" s="74"/>
      <c r="H249" s="74"/>
      <c r="I249" s="74"/>
      <c r="J249" s="74"/>
      <c r="K249" s="74"/>
      <c r="L249" s="74"/>
      <c r="O249" s="74"/>
    </row>
    <row r="250" spans="1:15" x14ac:dyDescent="0.3">
      <c r="A250" s="74"/>
      <c r="B250" s="74"/>
      <c r="C250" s="74"/>
      <c r="D250" s="74"/>
      <c r="H250" s="74"/>
      <c r="I250" s="74"/>
      <c r="J250" s="74"/>
      <c r="K250" s="74"/>
      <c r="L250" s="74"/>
      <c r="O250" s="74"/>
    </row>
    <row r="251" spans="1:15" x14ac:dyDescent="0.3">
      <c r="A251" s="74"/>
      <c r="B251" s="74"/>
      <c r="C251" s="74"/>
      <c r="D251" s="74"/>
      <c r="H251" s="74"/>
      <c r="I251" s="74"/>
      <c r="J251" s="74"/>
      <c r="K251" s="74"/>
      <c r="L251" s="74"/>
      <c r="O251" s="74"/>
    </row>
    <row r="252" spans="1:15" x14ac:dyDescent="0.3">
      <c r="A252" s="74"/>
      <c r="B252" s="74"/>
      <c r="C252" s="74"/>
      <c r="D252" s="74"/>
      <c r="H252" s="74"/>
      <c r="I252" s="74"/>
      <c r="J252" s="74"/>
      <c r="K252" s="74"/>
      <c r="L252" s="74"/>
      <c r="O252" s="74"/>
    </row>
    <row r="253" spans="1:15" x14ac:dyDescent="0.3">
      <c r="A253" s="74"/>
      <c r="B253" s="74"/>
      <c r="C253" s="74"/>
      <c r="D253" s="74"/>
      <c r="H253" s="74"/>
      <c r="I253" s="74"/>
      <c r="J253" s="74"/>
      <c r="K253" s="74"/>
      <c r="L253" s="74"/>
      <c r="O253" s="74"/>
    </row>
    <row r="254" spans="1:15" x14ac:dyDescent="0.3">
      <c r="A254" s="74"/>
      <c r="B254" s="74"/>
      <c r="C254" s="74"/>
      <c r="D254" s="74"/>
      <c r="H254" s="74"/>
      <c r="I254" s="74"/>
      <c r="J254" s="74"/>
      <c r="K254" s="74"/>
      <c r="L254" s="74"/>
      <c r="O254" s="74"/>
    </row>
    <row r="255" spans="1:15" x14ac:dyDescent="0.3">
      <c r="A255" s="74"/>
      <c r="B255" s="74"/>
      <c r="C255" s="74"/>
      <c r="D255" s="74"/>
      <c r="H255" s="74"/>
      <c r="I255" s="74"/>
      <c r="J255" s="74"/>
      <c r="K255" s="74"/>
      <c r="L255" s="74"/>
      <c r="O255" s="74"/>
    </row>
    <row r="256" spans="1:15" x14ac:dyDescent="0.3">
      <c r="A256" s="74"/>
      <c r="B256" s="74"/>
      <c r="C256" s="74"/>
      <c r="D256" s="74"/>
      <c r="H256" s="74"/>
      <c r="I256" s="74"/>
      <c r="J256" s="74"/>
      <c r="K256" s="74"/>
      <c r="L256" s="74"/>
      <c r="O256" s="74"/>
    </row>
    <row r="257" spans="1:15" x14ac:dyDescent="0.3">
      <c r="A257" s="74"/>
      <c r="B257" s="74"/>
      <c r="C257" s="74"/>
      <c r="D257" s="74"/>
      <c r="H257" s="74"/>
      <c r="I257" s="74"/>
      <c r="J257" s="74"/>
      <c r="K257" s="74"/>
      <c r="L257" s="74"/>
      <c r="O257" s="74"/>
    </row>
    <row r="258" spans="1:15" x14ac:dyDescent="0.3">
      <c r="A258" s="209"/>
      <c r="B258" s="209"/>
      <c r="C258" s="209"/>
      <c r="D258" s="209"/>
      <c r="H258" s="209"/>
      <c r="I258" s="209"/>
      <c r="J258" s="209"/>
      <c r="K258" s="209"/>
      <c r="L258" s="209"/>
      <c r="O258" s="209"/>
    </row>
    <row r="259" spans="1:15" x14ac:dyDescent="0.3">
      <c r="A259" s="74"/>
      <c r="B259" s="74"/>
      <c r="C259" s="74"/>
      <c r="D259" s="74"/>
      <c r="H259" s="74"/>
      <c r="I259" s="74"/>
      <c r="J259" s="74"/>
      <c r="K259" s="74"/>
      <c r="L259" s="74"/>
      <c r="O259" s="74"/>
    </row>
    <row r="260" spans="1:15" x14ac:dyDescent="0.3">
      <c r="A260" s="74"/>
      <c r="B260" s="74"/>
      <c r="C260" s="74"/>
      <c r="D260" s="74"/>
      <c r="H260" s="74"/>
      <c r="I260" s="74"/>
      <c r="J260" s="74"/>
      <c r="K260" s="74"/>
      <c r="L260" s="74"/>
      <c r="O260" s="74"/>
    </row>
    <row r="261" spans="1:15" x14ac:dyDescent="0.3">
      <c r="A261" s="74"/>
      <c r="B261" s="74"/>
      <c r="C261" s="74"/>
      <c r="D261" s="74"/>
      <c r="H261" s="74"/>
      <c r="I261" s="74"/>
      <c r="J261" s="74"/>
      <c r="K261" s="74"/>
      <c r="L261" s="74"/>
      <c r="O261" s="74"/>
    </row>
    <row r="262" spans="1:15" x14ac:dyDescent="0.3">
      <c r="A262" s="74"/>
      <c r="B262" s="74"/>
      <c r="C262" s="74"/>
      <c r="D262" s="74"/>
      <c r="H262" s="74"/>
      <c r="I262" s="74"/>
      <c r="J262" s="74"/>
      <c r="K262" s="74"/>
      <c r="L262" s="74"/>
      <c r="O262" s="74"/>
    </row>
    <row r="263" spans="1:15" x14ac:dyDescent="0.3">
      <c r="A263" s="74"/>
      <c r="B263" s="74"/>
      <c r="C263" s="74"/>
      <c r="D263" s="74"/>
      <c r="H263" s="74"/>
      <c r="I263" s="74"/>
      <c r="J263" s="74"/>
      <c r="K263" s="74"/>
      <c r="L263" s="74"/>
      <c r="O263" s="74"/>
    </row>
    <row r="264" spans="1:15" x14ac:dyDescent="0.3">
      <c r="A264" s="74"/>
      <c r="B264" s="74"/>
      <c r="C264" s="74"/>
      <c r="D264" s="74"/>
      <c r="H264" s="74"/>
      <c r="I264" s="74"/>
      <c r="J264" s="74"/>
      <c r="K264" s="74"/>
      <c r="L264" s="74"/>
      <c r="O264" s="74"/>
    </row>
    <row r="265" spans="1:15" x14ac:dyDescent="0.3">
      <c r="A265" s="74"/>
      <c r="B265" s="74"/>
      <c r="C265" s="74"/>
      <c r="D265" s="74"/>
      <c r="H265" s="74"/>
      <c r="I265" s="74"/>
      <c r="J265" s="74"/>
      <c r="K265" s="74"/>
      <c r="L265" s="74"/>
      <c r="O265" s="74"/>
    </row>
    <row r="266" spans="1:15" x14ac:dyDescent="0.3">
      <c r="A266" s="74"/>
      <c r="B266" s="74"/>
      <c r="C266" s="74"/>
      <c r="D266" s="74"/>
      <c r="H266" s="74"/>
      <c r="I266" s="74"/>
      <c r="J266" s="74"/>
      <c r="K266" s="74"/>
      <c r="L266" s="74"/>
      <c r="O266" s="74"/>
    </row>
    <row r="267" spans="1:15" x14ac:dyDescent="0.3">
      <c r="A267" s="74"/>
      <c r="B267" s="74"/>
      <c r="C267" s="74"/>
      <c r="D267" s="74"/>
      <c r="H267" s="74"/>
      <c r="I267" s="74"/>
      <c r="J267" s="74"/>
      <c r="K267" s="74"/>
      <c r="L267" s="74"/>
      <c r="O267" s="74"/>
    </row>
    <row r="268" spans="1:15" x14ac:dyDescent="0.3">
      <c r="A268" s="74"/>
      <c r="B268" s="74"/>
      <c r="C268" s="74"/>
      <c r="D268" s="74"/>
      <c r="H268" s="74"/>
      <c r="I268" s="74"/>
      <c r="J268" s="74"/>
      <c r="K268" s="74"/>
      <c r="L268" s="74"/>
      <c r="O268" s="74"/>
    </row>
    <row r="269" spans="1:15" x14ac:dyDescent="0.3">
      <c r="A269" s="74"/>
      <c r="B269" s="74"/>
      <c r="C269" s="74"/>
      <c r="D269" s="74"/>
      <c r="H269" s="74"/>
      <c r="I269" s="74"/>
      <c r="J269" s="74"/>
      <c r="K269" s="74"/>
      <c r="L269" s="74"/>
      <c r="O269" s="74"/>
    </row>
    <row r="270" spans="1:15" x14ac:dyDescent="0.3">
      <c r="A270" s="74"/>
      <c r="B270" s="74"/>
      <c r="C270" s="74"/>
      <c r="D270" s="74"/>
      <c r="H270" s="74"/>
      <c r="I270" s="74"/>
      <c r="J270" s="74"/>
      <c r="K270" s="74"/>
      <c r="L270" s="74"/>
      <c r="O270" s="74"/>
    </row>
    <row r="271" spans="1:15" x14ac:dyDescent="0.3">
      <c r="A271" s="74"/>
      <c r="B271" s="74"/>
      <c r="C271" s="74"/>
      <c r="D271" s="74"/>
      <c r="H271" s="74"/>
      <c r="I271" s="74"/>
      <c r="J271" s="74"/>
      <c r="K271" s="74"/>
      <c r="L271" s="74"/>
      <c r="O271" s="74"/>
    </row>
    <row r="272" spans="1:15" x14ac:dyDescent="0.3">
      <c r="A272" s="74"/>
      <c r="B272" s="74"/>
      <c r="C272" s="74"/>
      <c r="D272" s="74"/>
      <c r="H272" s="74"/>
      <c r="I272" s="74"/>
      <c r="J272" s="74"/>
      <c r="K272" s="74"/>
      <c r="L272" s="74"/>
      <c r="O272" s="74"/>
    </row>
    <row r="273" spans="1:15" x14ac:dyDescent="0.3">
      <c r="A273" s="74"/>
      <c r="B273" s="74"/>
      <c r="C273" s="74"/>
      <c r="D273" s="74"/>
      <c r="H273" s="74"/>
      <c r="I273" s="74"/>
      <c r="J273" s="74"/>
      <c r="K273" s="74"/>
      <c r="L273" s="74"/>
      <c r="O273" s="74"/>
    </row>
    <row r="274" spans="1:15" x14ac:dyDescent="0.3">
      <c r="A274" s="74"/>
      <c r="B274" s="74"/>
      <c r="C274" s="74"/>
      <c r="D274" s="74"/>
      <c r="H274" s="74"/>
      <c r="I274" s="74"/>
      <c r="J274" s="74"/>
      <c r="K274" s="74"/>
      <c r="L274" s="74"/>
      <c r="O274" s="74"/>
    </row>
    <row r="275" spans="1:15" x14ac:dyDescent="0.3">
      <c r="A275" s="74"/>
      <c r="B275" s="74"/>
      <c r="C275" s="74"/>
      <c r="D275" s="74"/>
      <c r="H275" s="74"/>
      <c r="I275" s="74"/>
      <c r="J275" s="74"/>
      <c r="K275" s="74"/>
      <c r="L275" s="74"/>
      <c r="O275" s="74"/>
    </row>
    <row r="276" spans="1:15" x14ac:dyDescent="0.3">
      <c r="A276" s="74"/>
      <c r="B276" s="74"/>
      <c r="C276" s="74"/>
      <c r="D276" s="74"/>
      <c r="H276" s="74"/>
      <c r="I276" s="74"/>
      <c r="J276" s="74"/>
      <c r="K276" s="74"/>
      <c r="L276" s="74"/>
      <c r="O276" s="74"/>
    </row>
    <row r="277" spans="1:15" x14ac:dyDescent="0.3">
      <c r="A277" s="74"/>
      <c r="B277" s="74"/>
      <c r="C277" s="74"/>
      <c r="D277" s="74"/>
      <c r="H277" s="74"/>
      <c r="I277" s="74"/>
      <c r="J277" s="74"/>
      <c r="K277" s="74"/>
      <c r="L277" s="74"/>
      <c r="O277" s="74"/>
    </row>
    <row r="278" spans="1:15" x14ac:dyDescent="0.3">
      <c r="A278" s="74"/>
      <c r="B278" s="74"/>
      <c r="C278" s="74"/>
      <c r="D278" s="74"/>
      <c r="H278" s="74"/>
      <c r="I278" s="74"/>
      <c r="J278" s="74"/>
      <c r="K278" s="74"/>
      <c r="L278" s="74"/>
      <c r="O278" s="74"/>
    </row>
    <row r="279" spans="1:15" x14ac:dyDescent="0.3">
      <c r="A279" s="74"/>
      <c r="B279" s="74"/>
      <c r="C279" s="74"/>
      <c r="D279" s="74"/>
      <c r="H279" s="74"/>
      <c r="I279" s="74"/>
      <c r="J279" s="74"/>
      <c r="K279" s="74"/>
      <c r="L279" s="74"/>
      <c r="O279" s="74"/>
    </row>
    <row r="280" spans="1:15" x14ac:dyDescent="0.3">
      <c r="A280" s="74"/>
      <c r="B280" s="74"/>
      <c r="C280" s="74"/>
      <c r="D280" s="74"/>
      <c r="H280" s="74"/>
      <c r="I280" s="74"/>
      <c r="J280" s="74"/>
      <c r="K280" s="74"/>
      <c r="L280" s="74"/>
      <c r="O280" s="74"/>
    </row>
    <row r="281" spans="1:15" x14ac:dyDescent="0.3">
      <c r="A281" s="74"/>
      <c r="B281" s="74"/>
      <c r="C281" s="74"/>
      <c r="D281" s="74"/>
      <c r="H281" s="74"/>
      <c r="I281" s="74"/>
      <c r="J281" s="74"/>
      <c r="K281" s="74"/>
      <c r="L281" s="74"/>
      <c r="O281" s="74"/>
    </row>
    <row r="282" spans="1:15" x14ac:dyDescent="0.3">
      <c r="A282" s="74"/>
      <c r="B282" s="74"/>
      <c r="C282" s="74"/>
      <c r="D282" s="74"/>
      <c r="H282" s="74"/>
      <c r="I282" s="74"/>
      <c r="J282" s="74"/>
      <c r="K282" s="74"/>
      <c r="L282" s="74"/>
      <c r="O282" s="74"/>
    </row>
    <row r="283" spans="1:15" x14ac:dyDescent="0.3">
      <c r="A283" s="74"/>
      <c r="B283" s="74"/>
      <c r="C283" s="74"/>
      <c r="D283" s="74"/>
      <c r="H283" s="74"/>
      <c r="I283" s="74"/>
      <c r="J283" s="74"/>
      <c r="K283" s="74"/>
      <c r="L283" s="74"/>
      <c r="O283" s="74"/>
    </row>
    <row r="284" spans="1:15" x14ac:dyDescent="0.3">
      <c r="A284" s="74"/>
      <c r="B284" s="74"/>
      <c r="C284" s="74"/>
      <c r="D284" s="74"/>
      <c r="H284" s="74"/>
      <c r="I284" s="74"/>
      <c r="J284" s="74"/>
      <c r="K284" s="74"/>
      <c r="L284" s="74"/>
      <c r="O284" s="74"/>
    </row>
    <row r="285" spans="1:15" x14ac:dyDescent="0.3">
      <c r="A285" s="74"/>
      <c r="B285" s="74"/>
      <c r="C285" s="74"/>
      <c r="D285" s="74"/>
      <c r="H285" s="74"/>
      <c r="I285" s="74"/>
      <c r="J285" s="74"/>
      <c r="K285" s="74"/>
      <c r="L285" s="74"/>
      <c r="O285" s="74"/>
    </row>
    <row r="286" spans="1:15" x14ac:dyDescent="0.3">
      <c r="A286" s="74"/>
      <c r="B286" s="74"/>
      <c r="C286" s="74"/>
      <c r="D286" s="74"/>
      <c r="H286" s="74"/>
      <c r="I286" s="74"/>
      <c r="J286" s="74"/>
      <c r="K286" s="74"/>
      <c r="L286" s="74"/>
      <c r="O286" s="74"/>
    </row>
    <row r="287" spans="1:15" x14ac:dyDescent="0.3">
      <c r="A287" s="74"/>
      <c r="B287" s="74"/>
      <c r="C287" s="74"/>
      <c r="D287" s="74"/>
      <c r="H287" s="74"/>
      <c r="I287" s="74"/>
      <c r="J287" s="74"/>
      <c r="K287" s="74"/>
      <c r="L287" s="74"/>
      <c r="O287" s="74"/>
    </row>
    <row r="288" spans="1:15" x14ac:dyDescent="0.3">
      <c r="A288" s="74"/>
      <c r="B288" s="74"/>
      <c r="C288" s="74"/>
      <c r="D288" s="74"/>
      <c r="H288" s="74"/>
      <c r="I288" s="74"/>
      <c r="J288" s="74"/>
      <c r="K288" s="74"/>
      <c r="L288" s="74"/>
      <c r="O288" s="74"/>
    </row>
    <row r="289" spans="1:15" x14ac:dyDescent="0.3">
      <c r="A289" s="74"/>
      <c r="B289" s="74"/>
      <c r="C289" s="74"/>
      <c r="D289" s="74"/>
      <c r="H289" s="74"/>
      <c r="I289" s="74"/>
      <c r="J289" s="74"/>
      <c r="K289" s="74"/>
      <c r="L289" s="74"/>
      <c r="O289" s="74"/>
    </row>
    <row r="290" spans="1:15" x14ac:dyDescent="0.3">
      <c r="A290" s="74"/>
      <c r="B290" s="74"/>
      <c r="C290" s="74"/>
      <c r="D290" s="74"/>
      <c r="H290" s="74"/>
      <c r="I290" s="74"/>
      <c r="J290" s="74"/>
      <c r="K290" s="74"/>
      <c r="L290" s="74"/>
      <c r="O290" s="74"/>
    </row>
    <row r="291" spans="1:15" x14ac:dyDescent="0.3">
      <c r="A291" s="74"/>
      <c r="B291" s="74"/>
      <c r="C291" s="74"/>
      <c r="D291" s="74"/>
      <c r="H291" s="74"/>
      <c r="I291" s="74"/>
      <c r="J291" s="74"/>
      <c r="K291" s="74"/>
      <c r="L291" s="74"/>
      <c r="O291" s="74"/>
    </row>
    <row r="292" spans="1:15" x14ac:dyDescent="0.3">
      <c r="A292" s="74"/>
      <c r="B292" s="74"/>
      <c r="C292" s="74"/>
      <c r="D292" s="74"/>
      <c r="H292" s="74"/>
      <c r="I292" s="74"/>
      <c r="J292" s="74"/>
      <c r="K292" s="74"/>
      <c r="L292" s="74"/>
      <c r="O292" s="74"/>
    </row>
    <row r="293" spans="1:15" x14ac:dyDescent="0.3">
      <c r="A293" s="74"/>
      <c r="B293" s="74"/>
      <c r="C293" s="74"/>
      <c r="D293" s="74"/>
      <c r="H293" s="74"/>
      <c r="I293" s="74"/>
      <c r="J293" s="74"/>
      <c r="K293" s="74"/>
      <c r="L293" s="74"/>
      <c r="O293" s="74"/>
    </row>
    <row r="294" spans="1:15" x14ac:dyDescent="0.3">
      <c r="A294" s="74"/>
      <c r="B294" s="74"/>
      <c r="C294" s="74"/>
      <c r="D294" s="74"/>
      <c r="H294" s="74"/>
      <c r="I294" s="74"/>
      <c r="J294" s="74"/>
      <c r="K294" s="74"/>
      <c r="L294" s="74"/>
      <c r="O294" s="74"/>
    </row>
    <row r="295" spans="1:15" x14ac:dyDescent="0.3">
      <c r="A295" s="74"/>
      <c r="B295" s="74"/>
      <c r="C295" s="74"/>
      <c r="D295" s="74"/>
      <c r="H295" s="74"/>
      <c r="I295" s="74"/>
      <c r="J295" s="74"/>
      <c r="K295" s="74"/>
      <c r="L295" s="74"/>
      <c r="O295" s="74"/>
    </row>
    <row r="296" spans="1:15" x14ac:dyDescent="0.3">
      <c r="A296" s="74"/>
      <c r="B296" s="74"/>
      <c r="C296" s="74"/>
      <c r="D296" s="74"/>
      <c r="H296" s="74"/>
      <c r="I296" s="74"/>
      <c r="J296" s="74"/>
      <c r="K296" s="74"/>
      <c r="L296" s="74"/>
      <c r="O296" s="74"/>
    </row>
    <row r="297" spans="1:15" x14ac:dyDescent="0.3">
      <c r="A297" s="74"/>
      <c r="B297" s="74"/>
      <c r="C297" s="74"/>
      <c r="D297" s="74"/>
      <c r="H297" s="74"/>
      <c r="I297" s="74"/>
      <c r="J297" s="74"/>
      <c r="K297" s="74"/>
      <c r="L297" s="74"/>
      <c r="O297" s="74"/>
    </row>
    <row r="298" spans="1:15" x14ac:dyDescent="0.3">
      <c r="A298" s="74"/>
      <c r="B298" s="74"/>
      <c r="C298" s="74"/>
      <c r="D298" s="74"/>
      <c r="H298" s="74"/>
      <c r="I298" s="74"/>
      <c r="J298" s="74"/>
      <c r="K298" s="74"/>
      <c r="L298" s="74"/>
      <c r="O298" s="74"/>
    </row>
    <row r="299" spans="1:15" x14ac:dyDescent="0.3">
      <c r="A299" s="74"/>
      <c r="B299" s="74"/>
      <c r="C299" s="74"/>
      <c r="D299" s="74"/>
      <c r="H299" s="74"/>
      <c r="I299" s="74"/>
      <c r="J299" s="74"/>
      <c r="K299" s="74"/>
      <c r="L299" s="74"/>
      <c r="O299" s="74"/>
    </row>
    <row r="300" spans="1:15" x14ac:dyDescent="0.3">
      <c r="A300" s="74"/>
      <c r="B300" s="74"/>
      <c r="C300" s="74"/>
      <c r="D300" s="74"/>
      <c r="H300" s="74"/>
      <c r="I300" s="74"/>
      <c r="J300" s="74"/>
      <c r="K300" s="74"/>
      <c r="L300" s="74"/>
      <c r="O300" s="74"/>
    </row>
    <row r="301" spans="1:15" x14ac:dyDescent="0.3">
      <c r="A301" s="74"/>
      <c r="B301" s="74"/>
      <c r="C301" s="74"/>
      <c r="D301" s="74"/>
      <c r="H301" s="74"/>
      <c r="I301" s="74"/>
      <c r="J301" s="74"/>
      <c r="K301" s="74"/>
      <c r="L301" s="74"/>
      <c r="O301" s="74"/>
    </row>
    <row r="302" spans="1:15" x14ac:dyDescent="0.3">
      <c r="A302" s="74"/>
      <c r="B302" s="74"/>
      <c r="C302" s="74"/>
      <c r="D302" s="74"/>
      <c r="H302" s="74"/>
      <c r="I302" s="74"/>
      <c r="J302" s="74"/>
      <c r="K302" s="74"/>
      <c r="L302" s="74"/>
      <c r="O302" s="74"/>
    </row>
    <row r="303" spans="1:15" x14ac:dyDescent="0.3">
      <c r="A303" s="74"/>
      <c r="B303" s="74"/>
      <c r="C303" s="74"/>
      <c r="D303" s="74"/>
      <c r="H303" s="74"/>
      <c r="I303" s="74"/>
      <c r="J303" s="74"/>
      <c r="K303" s="74"/>
      <c r="L303" s="74"/>
      <c r="O303" s="74"/>
    </row>
    <row r="304" spans="1:15" x14ac:dyDescent="0.3">
      <c r="A304" s="74"/>
      <c r="B304" s="74"/>
      <c r="C304" s="74"/>
      <c r="D304" s="74"/>
      <c r="H304" s="74"/>
      <c r="I304" s="74"/>
      <c r="J304" s="74"/>
      <c r="K304" s="74"/>
      <c r="L304" s="74"/>
      <c r="O304" s="74"/>
    </row>
    <row r="305" spans="1:15" x14ac:dyDescent="0.3">
      <c r="A305" s="74"/>
      <c r="B305" s="74"/>
      <c r="C305" s="74"/>
      <c r="D305" s="74"/>
      <c r="H305" s="74"/>
      <c r="I305" s="74"/>
      <c r="J305" s="74"/>
      <c r="K305" s="74"/>
      <c r="L305" s="74"/>
      <c r="O305" s="74"/>
    </row>
    <row r="306" spans="1:15" x14ac:dyDescent="0.3">
      <c r="A306" s="74"/>
      <c r="B306" s="74"/>
      <c r="C306" s="74"/>
      <c r="D306" s="74"/>
      <c r="H306" s="74"/>
      <c r="I306" s="74"/>
      <c r="J306" s="74"/>
      <c r="K306" s="74"/>
      <c r="L306" s="74"/>
      <c r="O306" s="74"/>
    </row>
    <row r="307" spans="1:15" x14ac:dyDescent="0.3">
      <c r="A307" s="74"/>
      <c r="B307" s="74"/>
      <c r="C307" s="74"/>
      <c r="D307" s="74"/>
      <c r="H307" s="74"/>
      <c r="I307" s="74"/>
      <c r="J307" s="74"/>
      <c r="K307" s="74"/>
      <c r="L307" s="74"/>
      <c r="O307" s="74"/>
    </row>
    <row r="308" spans="1:15" x14ac:dyDescent="0.3">
      <c r="A308" s="74"/>
      <c r="B308" s="74"/>
      <c r="C308" s="74"/>
      <c r="D308" s="74"/>
      <c r="H308" s="74"/>
      <c r="I308" s="74"/>
      <c r="J308" s="74"/>
      <c r="K308" s="74"/>
      <c r="L308" s="74"/>
      <c r="O308" s="74"/>
    </row>
    <row r="309" spans="1:15" x14ac:dyDescent="0.3">
      <c r="A309" s="74"/>
      <c r="B309" s="74"/>
      <c r="C309" s="74"/>
      <c r="D309" s="74"/>
      <c r="H309" s="74"/>
      <c r="I309" s="74"/>
      <c r="J309" s="74"/>
      <c r="K309" s="74"/>
      <c r="L309" s="74"/>
      <c r="O309" s="74"/>
    </row>
    <row r="310" spans="1:15" x14ac:dyDescent="0.3">
      <c r="A310" s="74"/>
      <c r="B310" s="74"/>
      <c r="C310" s="74"/>
      <c r="D310" s="74"/>
      <c r="H310" s="74"/>
      <c r="I310" s="74"/>
      <c r="J310" s="74"/>
      <c r="K310" s="74"/>
      <c r="L310" s="74"/>
      <c r="O310" s="74"/>
    </row>
    <row r="311" spans="1:15" x14ac:dyDescent="0.3">
      <c r="A311" s="74"/>
      <c r="B311" s="74"/>
      <c r="C311" s="74"/>
      <c r="D311" s="74"/>
      <c r="H311" s="74"/>
      <c r="I311" s="74"/>
      <c r="J311" s="74"/>
      <c r="K311" s="74"/>
      <c r="L311" s="74"/>
      <c r="O311" s="74"/>
    </row>
    <row r="312" spans="1:15" x14ac:dyDescent="0.3">
      <c r="A312" s="74"/>
      <c r="B312" s="74"/>
      <c r="C312" s="74"/>
      <c r="D312" s="74"/>
      <c r="H312" s="74"/>
      <c r="I312" s="74"/>
      <c r="J312" s="74"/>
      <c r="K312" s="74"/>
      <c r="L312" s="74"/>
      <c r="O312" s="74"/>
    </row>
    <row r="313" spans="1:15" x14ac:dyDescent="0.3">
      <c r="A313" s="74"/>
      <c r="B313" s="74"/>
      <c r="C313" s="74"/>
      <c r="D313" s="74"/>
      <c r="H313" s="74"/>
      <c r="I313" s="74"/>
      <c r="J313" s="74"/>
      <c r="K313" s="74"/>
      <c r="L313" s="74"/>
      <c r="O313" s="74"/>
    </row>
    <row r="314" spans="1:15" x14ac:dyDescent="0.3">
      <c r="A314" s="74"/>
      <c r="B314" s="74"/>
      <c r="C314" s="74"/>
      <c r="D314" s="74"/>
      <c r="H314" s="74"/>
      <c r="I314" s="74"/>
      <c r="J314" s="74"/>
      <c r="K314" s="74"/>
      <c r="L314" s="74"/>
      <c r="O314" s="74"/>
    </row>
    <row r="315" spans="1:15" x14ac:dyDescent="0.3">
      <c r="A315" s="74"/>
      <c r="B315" s="74"/>
      <c r="C315" s="74"/>
      <c r="D315" s="74"/>
      <c r="H315" s="74"/>
      <c r="I315" s="74"/>
      <c r="J315" s="74"/>
      <c r="K315" s="74"/>
      <c r="L315" s="74"/>
      <c r="O315" s="74"/>
    </row>
    <row r="316" spans="1:15" x14ac:dyDescent="0.3">
      <c r="A316" s="74"/>
      <c r="B316" s="74"/>
      <c r="C316" s="74"/>
      <c r="D316" s="74"/>
      <c r="H316" s="74"/>
      <c r="I316" s="74"/>
      <c r="J316" s="74"/>
      <c r="K316" s="74"/>
      <c r="L316" s="74"/>
      <c r="O316" s="74"/>
    </row>
    <row r="317" spans="1:15" x14ac:dyDescent="0.3">
      <c r="A317" s="74"/>
      <c r="B317" s="74"/>
      <c r="C317" s="74"/>
      <c r="D317" s="74"/>
      <c r="H317" s="74"/>
      <c r="I317" s="74"/>
      <c r="J317" s="74"/>
      <c r="K317" s="74"/>
      <c r="L317" s="74"/>
      <c r="O317" s="74"/>
    </row>
    <row r="318" spans="1:15" x14ac:dyDescent="0.3">
      <c r="A318" s="74"/>
      <c r="B318" s="74"/>
      <c r="C318" s="74"/>
      <c r="D318" s="74"/>
      <c r="H318" s="74"/>
      <c r="I318" s="74"/>
      <c r="J318" s="74"/>
      <c r="K318" s="74"/>
      <c r="L318" s="74"/>
      <c r="O318" s="74"/>
    </row>
    <row r="319" spans="1:15" x14ac:dyDescent="0.3">
      <c r="A319" s="74"/>
      <c r="B319" s="74"/>
      <c r="C319" s="74"/>
      <c r="D319" s="74"/>
      <c r="H319" s="74"/>
      <c r="I319" s="74"/>
      <c r="J319" s="74"/>
      <c r="K319" s="74"/>
      <c r="L319" s="74"/>
      <c r="O319" s="74"/>
    </row>
    <row r="320" spans="1:15" x14ac:dyDescent="0.3">
      <c r="A320" s="74"/>
      <c r="B320" s="74"/>
      <c r="C320" s="74"/>
      <c r="D320" s="74"/>
      <c r="H320" s="74"/>
      <c r="I320" s="74"/>
      <c r="J320" s="74"/>
      <c r="K320" s="74"/>
      <c r="L320" s="74"/>
      <c r="O320" s="74"/>
    </row>
    <row r="321" spans="1:15" x14ac:dyDescent="0.3">
      <c r="A321" s="74"/>
      <c r="B321" s="74"/>
      <c r="C321" s="74"/>
      <c r="D321" s="74"/>
      <c r="H321" s="74"/>
      <c r="I321" s="74"/>
      <c r="J321" s="74"/>
      <c r="K321" s="74"/>
      <c r="L321" s="74"/>
      <c r="O321" s="74"/>
    </row>
    <row r="322" spans="1:15" x14ac:dyDescent="0.3">
      <c r="A322" s="74"/>
      <c r="B322" s="74"/>
      <c r="C322" s="74"/>
      <c r="D322" s="74"/>
      <c r="H322" s="74"/>
      <c r="I322" s="74"/>
      <c r="J322" s="74"/>
      <c r="K322" s="74"/>
      <c r="L322" s="74"/>
      <c r="O322" s="74"/>
    </row>
    <row r="323" spans="1:15" x14ac:dyDescent="0.3">
      <c r="A323" s="74"/>
      <c r="B323" s="74"/>
      <c r="C323" s="74"/>
      <c r="D323" s="74"/>
      <c r="H323" s="74"/>
      <c r="I323" s="74"/>
      <c r="J323" s="74"/>
      <c r="K323" s="74"/>
      <c r="L323" s="74"/>
      <c r="O323" s="74"/>
    </row>
    <row r="324" spans="1:15" x14ac:dyDescent="0.3">
      <c r="A324" s="74"/>
      <c r="B324" s="74"/>
      <c r="C324" s="74"/>
      <c r="D324" s="74"/>
      <c r="H324" s="74"/>
      <c r="I324" s="74"/>
      <c r="J324" s="74"/>
      <c r="K324" s="74"/>
      <c r="L324" s="74"/>
      <c r="O324" s="74"/>
    </row>
    <row r="325" spans="1:15" x14ac:dyDescent="0.3">
      <c r="A325" s="74"/>
      <c r="B325" s="74"/>
      <c r="C325" s="74"/>
      <c r="D325" s="74"/>
      <c r="H325" s="74"/>
      <c r="I325" s="74"/>
      <c r="J325" s="74"/>
      <c r="K325" s="74"/>
      <c r="L325" s="74"/>
      <c r="O325" s="74"/>
    </row>
    <row r="326" spans="1:15" x14ac:dyDescent="0.3">
      <c r="A326" s="74"/>
      <c r="B326" s="74"/>
      <c r="C326" s="74"/>
      <c r="D326" s="74"/>
      <c r="H326" s="74"/>
      <c r="I326" s="74"/>
      <c r="J326" s="74"/>
      <c r="K326" s="74"/>
      <c r="L326" s="74"/>
      <c r="O326" s="74"/>
    </row>
    <row r="327" spans="1:15" x14ac:dyDescent="0.3">
      <c r="A327" s="74"/>
      <c r="B327" s="74"/>
      <c r="C327" s="74"/>
      <c r="D327" s="74"/>
      <c r="H327" s="74"/>
      <c r="I327" s="74"/>
      <c r="J327" s="74"/>
      <c r="K327" s="74"/>
      <c r="L327" s="74"/>
      <c r="O327" s="74"/>
    </row>
    <row r="328" spans="1:15" x14ac:dyDescent="0.3">
      <c r="A328" s="74"/>
      <c r="B328" s="74"/>
      <c r="C328" s="74"/>
      <c r="D328" s="74"/>
      <c r="H328" s="74"/>
      <c r="I328" s="74"/>
      <c r="J328" s="74"/>
      <c r="K328" s="74"/>
      <c r="L328" s="74"/>
      <c r="O328" s="74"/>
    </row>
    <row r="329" spans="1:15" x14ac:dyDescent="0.3">
      <c r="A329" s="74"/>
      <c r="B329" s="74"/>
      <c r="C329" s="74"/>
      <c r="D329" s="74"/>
      <c r="H329" s="74"/>
      <c r="I329" s="74"/>
      <c r="J329" s="74"/>
      <c r="K329" s="74"/>
      <c r="L329" s="74"/>
      <c r="O329" s="74"/>
    </row>
    <row r="330" spans="1:15" x14ac:dyDescent="0.3">
      <c r="A330" s="74"/>
      <c r="B330" s="74"/>
      <c r="C330" s="74"/>
      <c r="D330" s="74"/>
      <c r="H330" s="74"/>
      <c r="I330" s="74"/>
      <c r="J330" s="74"/>
      <c r="K330" s="74"/>
      <c r="L330" s="74"/>
      <c r="O330" s="74"/>
    </row>
    <row r="331" spans="1:15" x14ac:dyDescent="0.3">
      <c r="A331" s="74"/>
      <c r="B331" s="74"/>
      <c r="C331" s="74"/>
      <c r="D331" s="74"/>
      <c r="H331" s="74"/>
      <c r="I331" s="74"/>
      <c r="J331" s="74"/>
      <c r="K331" s="74"/>
      <c r="L331" s="74"/>
      <c r="O331" s="74"/>
    </row>
    <row r="332" spans="1:15" x14ac:dyDescent="0.3">
      <c r="A332" s="74"/>
      <c r="B332" s="74"/>
      <c r="C332" s="74"/>
      <c r="D332" s="74"/>
      <c r="H332" s="74"/>
      <c r="I332" s="74"/>
      <c r="J332" s="74"/>
      <c r="K332" s="74"/>
      <c r="L332" s="74"/>
      <c r="O332" s="74"/>
    </row>
    <row r="333" spans="1:15" x14ac:dyDescent="0.3">
      <c r="A333" s="74"/>
      <c r="B333" s="74"/>
      <c r="C333" s="74"/>
      <c r="D333" s="74"/>
      <c r="H333" s="74"/>
      <c r="I333" s="74"/>
      <c r="J333" s="74"/>
      <c r="K333" s="74"/>
      <c r="L333" s="74"/>
      <c r="O333" s="74"/>
    </row>
    <row r="334" spans="1:15" x14ac:dyDescent="0.3">
      <c r="A334" s="74"/>
      <c r="B334" s="74"/>
      <c r="C334" s="74"/>
      <c r="D334" s="74"/>
      <c r="H334" s="74"/>
      <c r="I334" s="74"/>
      <c r="J334" s="74"/>
      <c r="K334" s="74"/>
      <c r="L334" s="74"/>
      <c r="O334" s="74"/>
    </row>
    <row r="335" spans="1:15" x14ac:dyDescent="0.3">
      <c r="A335" s="74"/>
      <c r="B335" s="74"/>
      <c r="C335" s="74"/>
      <c r="D335" s="74"/>
      <c r="H335" s="74"/>
      <c r="I335" s="74"/>
      <c r="J335" s="74"/>
      <c r="K335" s="74"/>
      <c r="L335" s="74"/>
      <c r="O335" s="74"/>
    </row>
    <row r="336" spans="1:15" x14ac:dyDescent="0.3">
      <c r="A336" s="74"/>
      <c r="B336" s="74"/>
      <c r="C336" s="74"/>
      <c r="D336" s="74"/>
      <c r="H336" s="74"/>
      <c r="I336" s="74"/>
      <c r="J336" s="74"/>
      <c r="K336" s="74"/>
      <c r="L336" s="74"/>
      <c r="O336" s="74"/>
    </row>
    <row r="337" spans="1:15" x14ac:dyDescent="0.3">
      <c r="A337" s="74"/>
      <c r="B337" s="74"/>
      <c r="C337" s="74"/>
      <c r="D337" s="74"/>
      <c r="H337" s="74"/>
      <c r="I337" s="74"/>
      <c r="J337" s="74"/>
      <c r="K337" s="74"/>
      <c r="L337" s="74"/>
      <c r="O337" s="74"/>
    </row>
    <row r="338" spans="1:15" x14ac:dyDescent="0.3">
      <c r="A338" s="74"/>
      <c r="B338" s="74"/>
      <c r="C338" s="74"/>
      <c r="D338" s="74"/>
      <c r="H338" s="74"/>
      <c r="I338" s="74"/>
      <c r="J338" s="74"/>
      <c r="K338" s="74"/>
      <c r="L338" s="74"/>
      <c r="O338" s="74"/>
    </row>
    <row r="339" spans="1:15" x14ac:dyDescent="0.3">
      <c r="A339" s="74"/>
      <c r="B339" s="74"/>
      <c r="C339" s="74"/>
      <c r="D339" s="74"/>
      <c r="H339" s="74"/>
      <c r="I339" s="74"/>
      <c r="J339" s="74"/>
      <c r="K339" s="74"/>
      <c r="L339" s="74"/>
      <c r="O339" s="74"/>
    </row>
    <row r="340" spans="1:15" x14ac:dyDescent="0.3">
      <c r="A340" s="74"/>
      <c r="B340" s="74"/>
      <c r="C340" s="74"/>
      <c r="D340" s="74"/>
      <c r="H340" s="74"/>
      <c r="I340" s="74"/>
      <c r="J340" s="74"/>
      <c r="K340" s="74"/>
      <c r="L340" s="74"/>
      <c r="O340" s="74"/>
    </row>
    <row r="341" spans="1:15" x14ac:dyDescent="0.3">
      <c r="A341" s="74"/>
      <c r="B341" s="74"/>
      <c r="C341" s="74"/>
      <c r="D341" s="74"/>
      <c r="H341" s="74"/>
      <c r="I341" s="74"/>
      <c r="J341" s="74"/>
      <c r="K341" s="74"/>
      <c r="L341" s="74"/>
      <c r="O341" s="74"/>
    </row>
    <row r="342" spans="1:15" x14ac:dyDescent="0.3">
      <c r="A342" s="74"/>
      <c r="B342" s="74"/>
      <c r="C342" s="74"/>
      <c r="D342" s="74"/>
      <c r="H342" s="74"/>
      <c r="I342" s="74"/>
      <c r="J342" s="74"/>
      <c r="K342" s="74"/>
      <c r="L342" s="74"/>
      <c r="O342" s="74"/>
    </row>
    <row r="343" spans="1:15" x14ac:dyDescent="0.3">
      <c r="A343" s="74"/>
      <c r="B343" s="74"/>
      <c r="C343" s="74"/>
      <c r="D343" s="74"/>
      <c r="H343" s="74"/>
      <c r="I343" s="74"/>
      <c r="J343" s="74"/>
      <c r="K343" s="74"/>
      <c r="L343" s="74"/>
      <c r="O343" s="74"/>
    </row>
    <row r="344" spans="1:15" x14ac:dyDescent="0.3">
      <c r="A344" s="74"/>
      <c r="B344" s="74"/>
      <c r="C344" s="74"/>
      <c r="D344" s="74"/>
      <c r="H344" s="74"/>
      <c r="I344" s="74"/>
      <c r="J344" s="74"/>
      <c r="K344" s="74"/>
      <c r="L344" s="74"/>
      <c r="O344" s="74"/>
    </row>
    <row r="345" spans="1:15" x14ac:dyDescent="0.3">
      <c r="A345" s="74"/>
      <c r="B345" s="74"/>
      <c r="C345" s="74"/>
      <c r="D345" s="74"/>
      <c r="H345" s="74"/>
      <c r="I345" s="74"/>
      <c r="J345" s="74"/>
      <c r="K345" s="74"/>
      <c r="L345" s="74"/>
      <c r="O345" s="74"/>
    </row>
    <row r="346" spans="1:15" x14ac:dyDescent="0.3">
      <c r="A346" s="74"/>
      <c r="B346" s="74"/>
      <c r="C346" s="74"/>
      <c r="D346" s="74"/>
      <c r="H346" s="74"/>
      <c r="I346" s="74"/>
      <c r="J346" s="74"/>
      <c r="K346" s="74"/>
      <c r="L346" s="74"/>
      <c r="O346" s="74"/>
    </row>
    <row r="347" spans="1:15" x14ac:dyDescent="0.3">
      <c r="A347" s="74"/>
      <c r="B347" s="74"/>
      <c r="C347" s="74"/>
      <c r="D347" s="74"/>
      <c r="H347" s="74"/>
      <c r="I347" s="74"/>
      <c r="J347" s="74"/>
      <c r="K347" s="74"/>
      <c r="L347" s="74"/>
      <c r="O347" s="74"/>
    </row>
    <row r="348" spans="1:15" x14ac:dyDescent="0.3">
      <c r="A348" s="74"/>
      <c r="B348" s="74"/>
      <c r="C348" s="74"/>
      <c r="D348" s="74"/>
      <c r="H348" s="74"/>
      <c r="I348" s="74"/>
      <c r="J348" s="74"/>
      <c r="K348" s="74"/>
      <c r="L348" s="74"/>
      <c r="O348" s="74"/>
    </row>
    <row r="349" spans="1:15" x14ac:dyDescent="0.3">
      <c r="A349" s="74"/>
      <c r="B349" s="74"/>
      <c r="C349" s="74"/>
      <c r="D349" s="74"/>
      <c r="H349" s="74"/>
      <c r="I349" s="74"/>
      <c r="J349" s="74"/>
      <c r="K349" s="74"/>
      <c r="L349" s="74"/>
      <c r="O349" s="74"/>
    </row>
    <row r="350" spans="1:15" x14ac:dyDescent="0.3">
      <c r="A350" s="74"/>
      <c r="B350" s="74"/>
      <c r="C350" s="74"/>
      <c r="D350" s="74"/>
      <c r="H350" s="74"/>
      <c r="I350" s="74"/>
      <c r="J350" s="74"/>
      <c r="K350" s="74"/>
      <c r="L350" s="74"/>
      <c r="O350" s="74"/>
    </row>
    <row r="351" spans="1:15" x14ac:dyDescent="0.3">
      <c r="A351" s="74"/>
      <c r="B351" s="74"/>
      <c r="C351" s="74"/>
      <c r="D351" s="74"/>
      <c r="H351" s="74"/>
      <c r="I351" s="74"/>
      <c r="J351" s="74"/>
      <c r="K351" s="74"/>
      <c r="L351" s="74"/>
      <c r="O351" s="74"/>
    </row>
    <row r="352" spans="1:15" x14ac:dyDescent="0.3">
      <c r="A352" s="74"/>
      <c r="B352" s="74"/>
      <c r="C352" s="74"/>
      <c r="D352" s="74"/>
      <c r="H352" s="74"/>
      <c r="I352" s="74"/>
      <c r="J352" s="74"/>
      <c r="K352" s="74"/>
      <c r="L352" s="74"/>
      <c r="O352" s="74"/>
    </row>
    <row r="353" spans="1:15" x14ac:dyDescent="0.3">
      <c r="A353" s="74"/>
      <c r="B353" s="74"/>
      <c r="C353" s="74"/>
      <c r="D353" s="74"/>
      <c r="H353" s="74"/>
      <c r="I353" s="74"/>
      <c r="J353" s="74"/>
      <c r="K353" s="74"/>
      <c r="L353" s="74"/>
      <c r="O353" s="74"/>
    </row>
    <row r="354" spans="1:15" x14ac:dyDescent="0.3">
      <c r="A354" s="74"/>
      <c r="B354" s="74"/>
      <c r="C354" s="74"/>
      <c r="D354" s="74"/>
      <c r="H354" s="74"/>
      <c r="I354" s="74"/>
      <c r="J354" s="74"/>
      <c r="K354" s="74"/>
      <c r="L354" s="74"/>
      <c r="O354" s="74"/>
    </row>
    <row r="355" spans="1:15" x14ac:dyDescent="0.3">
      <c r="A355" s="74"/>
      <c r="B355" s="74"/>
      <c r="C355" s="74"/>
      <c r="D355" s="74"/>
      <c r="H355" s="74"/>
      <c r="I355" s="74"/>
      <c r="J355" s="74"/>
      <c r="K355" s="74"/>
      <c r="L355" s="74"/>
      <c r="O355" s="74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21875" bestFit="1" customWidth="1"/>
    <col min="3" max="3" width="12.5546875" bestFit="1" customWidth="1"/>
    <col min="4" max="4" width="14.77734375" bestFit="1" customWidth="1"/>
    <col min="5" max="5" width="13.44140625" bestFit="1" customWidth="1"/>
    <col min="6" max="6" width="10.77734375" bestFit="1" customWidth="1"/>
    <col min="7" max="7" width="8.21875" customWidth="1"/>
    <col min="8" max="8" width="10.21875" bestFit="1" customWidth="1"/>
    <col min="9" max="9" width="36.77734375" customWidth="1"/>
    <col min="10" max="10" width="10.5546875" customWidth="1"/>
    <col min="11" max="11" width="15.21875" bestFit="1" customWidth="1"/>
    <col min="12" max="12" width="17.7773437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2025-07-21T14:29:03Z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