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OneDrive_1_14-07-2025\"/>
    </mc:Choice>
  </mc:AlternateContent>
  <xr:revisionPtr revIDLastSave="0" documentId="13_ncr:1_{F837B41D-3B58-4CD7-B94A-01BEDAD2FD28}" xr6:coauthVersionLast="47" xr6:coauthVersionMax="47" xr10:uidLastSave="{00000000-0000-0000-0000-000000000000}"/>
  <bookViews>
    <workbookView xWindow="-108" yWindow="-108" windowWidth="23256" windowHeight="12456" tabRatio="852" firstSheet="6" activeTab="8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0" i="6" l="1"/>
  <c r="K1200" i="6"/>
  <c r="L1200" i="6"/>
  <c r="M1200" i="6"/>
  <c r="N1200" i="6"/>
  <c r="O1200" i="6"/>
  <c r="P1200" i="6"/>
  <c r="Q1200" i="6"/>
  <c r="J1201" i="6"/>
  <c r="P1201" i="6" s="1"/>
  <c r="K1201" i="6"/>
  <c r="L1201" i="6"/>
  <c r="M1201" i="6"/>
  <c r="N1201" i="6"/>
  <c r="O1201" i="6"/>
  <c r="J1202" i="6"/>
  <c r="K1202" i="6"/>
  <c r="L1202" i="6"/>
  <c r="M1202" i="6"/>
  <c r="N1202" i="6"/>
  <c r="O1202" i="6"/>
  <c r="P1202" i="6"/>
  <c r="Q1202" i="6"/>
  <c r="J1203" i="6"/>
  <c r="P1203" i="6" s="1"/>
  <c r="K1203" i="6"/>
  <c r="L1203" i="6"/>
  <c r="M1203" i="6"/>
  <c r="N1203" i="6"/>
  <c r="O1203" i="6"/>
  <c r="J1204" i="6"/>
  <c r="K1204" i="6"/>
  <c r="L1204" i="6"/>
  <c r="M1204" i="6"/>
  <c r="N1204" i="6"/>
  <c r="O1204" i="6"/>
  <c r="P1204" i="6"/>
  <c r="Q1204" i="6"/>
  <c r="J1205" i="6"/>
  <c r="Q1205" i="6" s="1"/>
  <c r="K1205" i="6"/>
  <c r="P1205" i="6" s="1"/>
  <c r="L1205" i="6"/>
  <c r="M1205" i="6"/>
  <c r="N1205" i="6"/>
  <c r="O1205" i="6"/>
  <c r="J1206" i="6"/>
  <c r="K1206" i="6"/>
  <c r="L1206" i="6"/>
  <c r="M1206" i="6"/>
  <c r="N1206" i="6"/>
  <c r="O1206" i="6"/>
  <c r="P1206" i="6"/>
  <c r="Q1206" i="6"/>
  <c r="J1207" i="6"/>
  <c r="Q1207" i="6" s="1"/>
  <c r="K1207" i="6"/>
  <c r="P1207" i="6" s="1"/>
  <c r="L1207" i="6"/>
  <c r="M1207" i="6"/>
  <c r="N1207" i="6"/>
  <c r="O1207" i="6"/>
  <c r="J1208" i="6"/>
  <c r="K1208" i="6"/>
  <c r="L1208" i="6"/>
  <c r="M1208" i="6"/>
  <c r="N1208" i="6"/>
  <c r="O1208" i="6"/>
  <c r="P1208" i="6"/>
  <c r="Q1208" i="6"/>
  <c r="J1209" i="6"/>
  <c r="Q1209" i="6" s="1"/>
  <c r="K1209" i="6"/>
  <c r="L1209" i="6"/>
  <c r="P1209" i="6" s="1"/>
  <c r="M1209" i="6"/>
  <c r="N1209" i="6"/>
  <c r="O1209" i="6"/>
  <c r="J1210" i="6"/>
  <c r="K1210" i="6"/>
  <c r="L1210" i="6"/>
  <c r="M1210" i="6"/>
  <c r="N1210" i="6"/>
  <c r="O1210" i="6"/>
  <c r="P1210" i="6"/>
  <c r="Q1210" i="6"/>
  <c r="J1211" i="6"/>
  <c r="Q1211" i="6" s="1"/>
  <c r="K1211" i="6"/>
  <c r="L1211" i="6"/>
  <c r="P1211" i="6" s="1"/>
  <c r="M1211" i="6"/>
  <c r="N1211" i="6"/>
  <c r="O1211" i="6"/>
  <c r="J1212" i="6"/>
  <c r="K1212" i="6"/>
  <c r="L1212" i="6"/>
  <c r="M1212" i="6"/>
  <c r="N1212" i="6"/>
  <c r="O1212" i="6"/>
  <c r="P1212" i="6"/>
  <c r="Q1212" i="6"/>
  <c r="J1213" i="6"/>
  <c r="Q1213" i="6" s="1"/>
  <c r="K1213" i="6"/>
  <c r="L1213" i="6"/>
  <c r="M1213" i="6"/>
  <c r="P1213" i="6" s="1"/>
  <c r="N1213" i="6"/>
  <c r="O1213" i="6"/>
  <c r="J1214" i="6"/>
  <c r="K1214" i="6"/>
  <c r="L1214" i="6"/>
  <c r="M1214" i="6"/>
  <c r="N1214" i="6"/>
  <c r="O1214" i="6"/>
  <c r="P1214" i="6"/>
  <c r="Q1214" i="6"/>
  <c r="J1215" i="6"/>
  <c r="Q1215" i="6" s="1"/>
  <c r="K1215" i="6"/>
  <c r="L1215" i="6"/>
  <c r="M1215" i="6"/>
  <c r="P1215" i="6" s="1"/>
  <c r="N1215" i="6"/>
  <c r="O1215" i="6"/>
  <c r="J1216" i="6"/>
  <c r="K1216" i="6"/>
  <c r="L1216" i="6"/>
  <c r="M1216" i="6"/>
  <c r="N1216" i="6"/>
  <c r="O1216" i="6"/>
  <c r="P1216" i="6"/>
  <c r="Q1216" i="6"/>
  <c r="J1217" i="6"/>
  <c r="Q1217" i="6" s="1"/>
  <c r="K1217" i="6"/>
  <c r="L1217" i="6"/>
  <c r="M1217" i="6"/>
  <c r="P1217" i="6" s="1"/>
  <c r="N1217" i="6"/>
  <c r="O1217" i="6"/>
  <c r="J1218" i="6"/>
  <c r="K1218" i="6"/>
  <c r="L1218" i="6"/>
  <c r="M1218" i="6"/>
  <c r="N1218" i="6"/>
  <c r="O1218" i="6"/>
  <c r="P1218" i="6"/>
  <c r="Q1218" i="6"/>
  <c r="J1219" i="6"/>
  <c r="Q1219" i="6" s="1"/>
  <c r="K1219" i="6"/>
  <c r="L1219" i="6"/>
  <c r="M1219" i="6"/>
  <c r="P1219" i="6" s="1"/>
  <c r="N1219" i="6"/>
  <c r="O1219" i="6"/>
  <c r="J1220" i="6"/>
  <c r="K1220" i="6"/>
  <c r="L1220" i="6"/>
  <c r="M1220" i="6"/>
  <c r="N1220" i="6"/>
  <c r="O1220" i="6"/>
  <c r="P1220" i="6"/>
  <c r="Q1220" i="6"/>
  <c r="J1221" i="6"/>
  <c r="Q1221" i="6" s="1"/>
  <c r="K1221" i="6"/>
  <c r="L1221" i="6"/>
  <c r="M1221" i="6"/>
  <c r="N1221" i="6"/>
  <c r="P1221" i="6" s="1"/>
  <c r="O1221" i="6"/>
  <c r="J1222" i="6"/>
  <c r="K1222" i="6"/>
  <c r="L1222" i="6"/>
  <c r="M1222" i="6"/>
  <c r="N1222" i="6"/>
  <c r="O1222" i="6"/>
  <c r="P1222" i="6"/>
  <c r="Q1222" i="6"/>
  <c r="J1223" i="6"/>
  <c r="Q1223" i="6" s="1"/>
  <c r="K1223" i="6"/>
  <c r="L1223" i="6"/>
  <c r="M1223" i="6"/>
  <c r="N1223" i="6"/>
  <c r="P1223" i="6" s="1"/>
  <c r="O1223" i="6"/>
  <c r="J1224" i="6"/>
  <c r="K1224" i="6"/>
  <c r="L1224" i="6"/>
  <c r="M1224" i="6"/>
  <c r="N1224" i="6"/>
  <c r="O1224" i="6"/>
  <c r="P1224" i="6"/>
  <c r="Q1224" i="6"/>
  <c r="J1225" i="6"/>
  <c r="Q1225" i="6" s="1"/>
  <c r="K1225" i="6"/>
  <c r="L1225" i="6"/>
  <c r="M1225" i="6"/>
  <c r="N1225" i="6"/>
  <c r="O1225" i="6"/>
  <c r="P1225" i="6"/>
  <c r="J1226" i="6"/>
  <c r="K1226" i="6"/>
  <c r="L1226" i="6"/>
  <c r="M1226" i="6"/>
  <c r="N1226" i="6"/>
  <c r="O1226" i="6"/>
  <c r="P1226" i="6"/>
  <c r="Q1226" i="6"/>
  <c r="J1227" i="6"/>
  <c r="Q1227" i="6" s="1"/>
  <c r="K1227" i="6"/>
  <c r="L1227" i="6"/>
  <c r="M1227" i="6"/>
  <c r="N1227" i="6"/>
  <c r="O1227" i="6"/>
  <c r="P1227" i="6"/>
  <c r="J1228" i="6"/>
  <c r="K1228" i="6"/>
  <c r="L1228" i="6"/>
  <c r="M1228" i="6"/>
  <c r="N1228" i="6"/>
  <c r="O1228" i="6"/>
  <c r="P1228" i="6"/>
  <c r="Q1228" i="6"/>
  <c r="J1229" i="6"/>
  <c r="Q1229" i="6" s="1"/>
  <c r="K1229" i="6"/>
  <c r="L1229" i="6"/>
  <c r="M1229" i="6"/>
  <c r="N1229" i="6"/>
  <c r="O1229" i="6"/>
  <c r="P1229" i="6"/>
  <c r="J1230" i="6"/>
  <c r="K1230" i="6"/>
  <c r="L1230" i="6"/>
  <c r="M1230" i="6"/>
  <c r="N1230" i="6"/>
  <c r="O1230" i="6"/>
  <c r="P1230" i="6"/>
  <c r="Q1230" i="6"/>
  <c r="J1231" i="6"/>
  <c r="Q1231" i="6" s="1"/>
  <c r="K1231" i="6"/>
  <c r="L1231" i="6"/>
  <c r="M1231" i="6"/>
  <c r="N1231" i="6"/>
  <c r="O1231" i="6"/>
  <c r="P1231" i="6"/>
  <c r="J1232" i="6"/>
  <c r="K1232" i="6"/>
  <c r="L1232" i="6"/>
  <c r="M1232" i="6"/>
  <c r="N1232" i="6"/>
  <c r="O1232" i="6"/>
  <c r="P1232" i="6"/>
  <c r="Q1232" i="6"/>
  <c r="J1233" i="6"/>
  <c r="Q1233" i="6" s="1"/>
  <c r="K1233" i="6"/>
  <c r="L1233" i="6"/>
  <c r="M1233" i="6"/>
  <c r="N1233" i="6"/>
  <c r="O1233" i="6"/>
  <c r="P1233" i="6"/>
  <c r="J1234" i="6"/>
  <c r="K1234" i="6"/>
  <c r="L1234" i="6"/>
  <c r="M1234" i="6"/>
  <c r="N1234" i="6"/>
  <c r="O1234" i="6"/>
  <c r="P1234" i="6"/>
  <c r="Q1234" i="6"/>
  <c r="J1235" i="6"/>
  <c r="Q1235" i="6" s="1"/>
  <c r="K1235" i="6"/>
  <c r="L1235" i="6"/>
  <c r="M1235" i="6"/>
  <c r="N1235" i="6"/>
  <c r="O1235" i="6"/>
  <c r="P1235" i="6"/>
  <c r="J1236" i="6"/>
  <c r="K1236" i="6"/>
  <c r="L1236" i="6"/>
  <c r="M1236" i="6"/>
  <c r="N1236" i="6"/>
  <c r="O1236" i="6"/>
  <c r="P1236" i="6"/>
  <c r="Q1236" i="6"/>
  <c r="J1237" i="6"/>
  <c r="Q1237" i="6" s="1"/>
  <c r="K1237" i="6"/>
  <c r="L1237" i="6"/>
  <c r="M1237" i="6"/>
  <c r="N1237" i="6"/>
  <c r="O1237" i="6"/>
  <c r="P1237" i="6"/>
  <c r="AD115" i="4"/>
  <c r="AC115" i="4"/>
  <c r="G1202" i="14"/>
  <c r="H1202" i="14"/>
  <c r="C1202" i="14" s="1"/>
  <c r="Q1202" i="14"/>
  <c r="C1202" i="15"/>
  <c r="G1202" i="15"/>
  <c r="H1202" i="15"/>
  <c r="Q1202" i="15"/>
  <c r="Q1203" i="6" l="1"/>
  <c r="Q1201" i="6"/>
  <c r="P1200" i="7" s="1"/>
  <c r="F110" i="1"/>
  <c r="H110" i="1"/>
  <c r="AB110" i="1"/>
  <c r="AC110" i="1"/>
  <c r="AE110" i="1" s="1"/>
  <c r="AD110" i="1"/>
  <c r="AF110" i="1"/>
  <c r="AG110" i="1" s="1"/>
  <c r="AI110" i="1"/>
  <c r="C1201" i="15"/>
  <c r="G1201" i="15"/>
  <c r="H1201" i="15"/>
  <c r="Q1201" i="15"/>
  <c r="G1201" i="14"/>
  <c r="H1201" i="14"/>
  <c r="C1201" i="14" s="1"/>
  <c r="Q1201" i="14"/>
  <c r="S1200" i="7"/>
  <c r="P1201" i="7"/>
  <c r="O1201" i="7"/>
  <c r="G1199" i="7"/>
  <c r="G1200" i="7"/>
  <c r="G1201" i="7"/>
  <c r="G1202" i="7"/>
  <c r="G1203" i="7"/>
  <c r="G1204" i="7"/>
  <c r="G1205" i="7"/>
  <c r="G1206" i="7"/>
  <c r="G1207" i="7"/>
  <c r="G1208" i="7"/>
  <c r="I1199" i="7"/>
  <c r="I1200" i="7"/>
  <c r="I1201" i="7"/>
  <c r="I1202" i="7"/>
  <c r="I1203" i="7"/>
  <c r="I1204" i="7"/>
  <c r="I1205" i="7"/>
  <c r="I1206" i="7"/>
  <c r="I1207" i="7"/>
  <c r="I1208" i="7"/>
  <c r="H1199" i="7"/>
  <c r="H1200" i="7"/>
  <c r="H1201" i="7" s="1"/>
  <c r="H1202" i="7" s="1"/>
  <c r="H1203" i="7" s="1"/>
  <c r="H1204" i="7" s="1"/>
  <c r="H1205" i="7" s="1"/>
  <c r="H1206" i="7" s="1"/>
  <c r="H1207" i="7" s="1"/>
  <c r="H1208" i="7" s="1"/>
  <c r="J1196" i="6"/>
  <c r="Q1196" i="6" s="1"/>
  <c r="Q1195" i="7" s="1"/>
  <c r="K1196" i="6"/>
  <c r="L1196" i="6"/>
  <c r="M1196" i="6"/>
  <c r="N1196" i="6"/>
  <c r="T1195" i="7" s="1"/>
  <c r="O1196" i="6"/>
  <c r="J1197" i="6"/>
  <c r="Q1197" i="6" s="1"/>
  <c r="K1197" i="6"/>
  <c r="L1197" i="6"/>
  <c r="M1197" i="6"/>
  <c r="N1197" i="6"/>
  <c r="O1197" i="6"/>
  <c r="J1198" i="6"/>
  <c r="K1198" i="6"/>
  <c r="L1198" i="6"/>
  <c r="M1198" i="6"/>
  <c r="N1198" i="6"/>
  <c r="O1198" i="6"/>
  <c r="Q1198" i="6"/>
  <c r="J1199" i="6"/>
  <c r="K1199" i="6"/>
  <c r="L1199" i="6"/>
  <c r="M1199" i="6"/>
  <c r="P1199" i="6" s="1"/>
  <c r="N1199" i="6"/>
  <c r="O1199" i="6"/>
  <c r="P1203" i="7"/>
  <c r="Q1203" i="7"/>
  <c r="J1204" i="7"/>
  <c r="L1204" i="7"/>
  <c r="K1204" i="7"/>
  <c r="O1204" i="7"/>
  <c r="F109" i="1"/>
  <c r="H109" i="1"/>
  <c r="AB109" i="1"/>
  <c r="AC109" i="1"/>
  <c r="AE109" i="1" s="1"/>
  <c r="AD109" i="1"/>
  <c r="AF109" i="1"/>
  <c r="AG109" i="1" s="1"/>
  <c r="AI109" i="1"/>
  <c r="P1196" i="7" l="1"/>
  <c r="S1196" i="7"/>
  <c r="O1205" i="7"/>
  <c r="K1205" i="7"/>
  <c r="P1199" i="7"/>
  <c r="L1206" i="7"/>
  <c r="K1203" i="7"/>
  <c r="O1206" i="7"/>
  <c r="N1203" i="7"/>
  <c r="R1199" i="7"/>
  <c r="R1201" i="7"/>
  <c r="L1205" i="7"/>
  <c r="M1199" i="7"/>
  <c r="Q1199" i="6"/>
  <c r="R1204" i="7"/>
  <c r="N1204" i="7"/>
  <c r="T1199" i="7"/>
  <c r="P1195" i="7"/>
  <c r="M1206" i="7"/>
  <c r="R1205" i="7"/>
  <c r="R1195" i="7"/>
  <c r="T1203" i="7"/>
  <c r="S1205" i="7"/>
  <c r="R1203" i="7"/>
  <c r="M1205" i="7"/>
  <c r="J1205" i="7"/>
  <c r="S1199" i="7"/>
  <c r="U1203" i="7"/>
  <c r="S1203" i="7"/>
  <c r="S1206" i="7"/>
  <c r="P1198" i="6"/>
  <c r="U1204" i="7"/>
  <c r="T1206" i="7"/>
  <c r="M1204" i="7"/>
  <c r="L1199" i="7"/>
  <c r="S1201" i="7"/>
  <c r="N1201" i="7"/>
  <c r="L1201" i="7"/>
  <c r="J1201" i="7"/>
  <c r="U1201" i="7"/>
  <c r="Q1201" i="7"/>
  <c r="M1201" i="7"/>
  <c r="R1200" i="7"/>
  <c r="R1202" i="7"/>
  <c r="T1201" i="7"/>
  <c r="U1200" i="7"/>
  <c r="Q1200" i="7"/>
  <c r="K1201" i="7"/>
  <c r="T1200" i="7"/>
  <c r="R1196" i="7"/>
  <c r="P1197" i="6"/>
  <c r="U1196" i="7"/>
  <c r="Q1196" i="7"/>
  <c r="S1195" i="7"/>
  <c r="P1196" i="6"/>
  <c r="T1196" i="7"/>
  <c r="U1195" i="7"/>
  <c r="Q1206" i="7" l="1"/>
  <c r="K1199" i="7"/>
  <c r="J1199" i="7"/>
  <c r="P1204" i="7"/>
  <c r="T1204" i="7"/>
  <c r="O1199" i="7"/>
  <c r="R1206" i="7"/>
  <c r="T1205" i="7"/>
  <c r="J1206" i="7"/>
  <c r="U1206" i="7"/>
  <c r="Q1204" i="7"/>
  <c r="P1205" i="7"/>
  <c r="N1199" i="7"/>
  <c r="P1206" i="7"/>
  <c r="Q1199" i="7"/>
  <c r="U1199" i="7"/>
  <c r="S1204" i="7"/>
  <c r="J1203" i="7"/>
  <c r="M1203" i="7"/>
  <c r="O1203" i="7"/>
  <c r="Q1205" i="7"/>
  <c r="U1205" i="7"/>
  <c r="K1206" i="7"/>
  <c r="N1205" i="7"/>
  <c r="L1203" i="7"/>
  <c r="N1206" i="7"/>
  <c r="J1200" i="7"/>
  <c r="L1200" i="7"/>
  <c r="N1200" i="7"/>
  <c r="O1200" i="7"/>
  <c r="K1200" i="7"/>
  <c r="U1202" i="7"/>
  <c r="P1202" i="7"/>
  <c r="T1202" i="7"/>
  <c r="Q1202" i="7"/>
  <c r="S1202" i="7"/>
  <c r="N1202" i="7"/>
  <c r="O1202" i="7"/>
  <c r="K1202" i="7"/>
  <c r="M1202" i="7"/>
  <c r="L1202" i="7"/>
  <c r="J1202" i="7"/>
  <c r="M1200" i="7"/>
  <c r="O1196" i="7"/>
  <c r="N1196" i="7"/>
  <c r="N1195" i="7"/>
  <c r="O1195" i="7"/>
  <c r="M1196" i="7"/>
  <c r="M1195" i="7"/>
  <c r="C1200" i="15" l="1"/>
  <c r="G1200" i="15"/>
  <c r="H1200" i="15"/>
  <c r="G1200" i="14"/>
  <c r="H1200" i="14"/>
  <c r="C1200" i="14" s="1"/>
  <c r="Q1200" i="14"/>
  <c r="G115" i="4"/>
  <c r="I115" i="4"/>
  <c r="J115" i="4"/>
  <c r="AA115" i="4"/>
  <c r="AB115" i="4"/>
  <c r="AI115" i="4"/>
  <c r="F108" i="1"/>
  <c r="H108" i="1"/>
  <c r="AB108" i="1"/>
  <c r="AC108" i="1"/>
  <c r="AD108" i="1"/>
  <c r="AF108" i="1"/>
  <c r="AG108" i="1" s="1"/>
  <c r="AI108" i="1"/>
  <c r="K115" i="4" l="1"/>
  <c r="AE108" i="1"/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AA114" i="4"/>
  <c r="AB114" i="4"/>
  <c r="A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K114" i="4" l="1"/>
  <c r="F107" i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G1198" i="7"/>
  <c r="H1198" i="7"/>
  <c r="I1198" i="7"/>
  <c r="J1195" i="6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C112" i="4"/>
  <c r="I112" i="4"/>
  <c r="J112" i="4"/>
  <c r="AA112" i="4"/>
  <c r="AB112" i="4"/>
  <c r="AI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P1198" i="7" l="1"/>
  <c r="Q1195" i="6"/>
  <c r="T1197" i="7"/>
  <c r="AE105" i="1"/>
  <c r="Q1197" i="7"/>
  <c r="S1198" i="7"/>
  <c r="R1197" i="7"/>
  <c r="P1197" i="7"/>
  <c r="P1195" i="6"/>
  <c r="AE104" i="1"/>
  <c r="R1198" i="7"/>
  <c r="S1197" i="7"/>
  <c r="U1198" i="7"/>
  <c r="Q1198" i="7"/>
  <c r="T1198" i="7"/>
  <c r="U1197" i="7"/>
  <c r="K112" i="4"/>
  <c r="K111" i="4"/>
  <c r="K1198" i="7" l="1"/>
  <c r="N1198" i="7"/>
  <c r="O1198" i="7"/>
  <c r="J1198" i="7"/>
  <c r="M1198" i="7"/>
  <c r="O1197" i="7"/>
  <c r="N1197" i="7"/>
  <c r="L1198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J1190" i="6"/>
  <c r="K1190" i="6"/>
  <c r="L1190" i="6"/>
  <c r="M1190" i="6"/>
  <c r="N1190" i="6"/>
  <c r="O1190" i="6"/>
  <c r="Q1189" i="6" l="1"/>
  <c r="P1190" i="6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I104" i="4"/>
  <c r="J104" i="4"/>
  <c r="AA104" i="4"/>
  <c r="AB104" i="4"/>
  <c r="AI104" i="4"/>
  <c r="I103" i="4"/>
  <c r="J103" i="4"/>
  <c r="AA103" i="4"/>
  <c r="AB103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I98" i="4" s="1"/>
  <c r="AC99" i="4"/>
  <c r="AD99" i="4"/>
  <c r="AI99" i="4" s="1"/>
  <c r="I99" i="4"/>
  <c r="J99" i="4"/>
  <c r="AA99" i="4"/>
  <c r="AB99" i="4"/>
  <c r="I98" i="4"/>
  <c r="J98" i="4"/>
  <c r="AA98" i="4"/>
  <c r="AB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M1208" i="7" l="1"/>
  <c r="S1208" i="7"/>
  <c r="N1208" i="7"/>
  <c r="T1208" i="7"/>
  <c r="J1208" i="7"/>
  <c r="P1208" i="7"/>
  <c r="U1207" i="7"/>
  <c r="T1207" i="7"/>
  <c r="P1207" i="7"/>
  <c r="M1186" i="7"/>
  <c r="R1183" i="7"/>
  <c r="J1197" i="7"/>
  <c r="T1181" i="7"/>
  <c r="R1182" i="7"/>
  <c r="O1184" i="7"/>
  <c r="S1181" i="7"/>
  <c r="L1196" i="7"/>
  <c r="Q1207" i="7"/>
  <c r="J1174" i="7"/>
  <c r="O1208" i="7"/>
  <c r="N1179" i="7"/>
  <c r="N1181" i="7"/>
  <c r="Q1208" i="7"/>
  <c r="P1187" i="7"/>
  <c r="K1167" i="7"/>
  <c r="M1190" i="7"/>
  <c r="L1188" i="7"/>
  <c r="L1164" i="7"/>
  <c r="L1167" i="7"/>
  <c r="L1182" i="7"/>
  <c r="U1185" i="7"/>
  <c r="K1185" i="7"/>
  <c r="M1207" i="7"/>
  <c r="U1186" i="7"/>
  <c r="J1165" i="7"/>
  <c r="J1164" i="7"/>
  <c r="Q1184" i="7"/>
  <c r="N1187" i="7"/>
  <c r="J1175" i="7"/>
  <c r="J1163" i="7"/>
  <c r="S1180" i="7"/>
  <c r="O1183" i="7"/>
  <c r="O1165" i="7"/>
  <c r="K1173" i="7"/>
  <c r="Q1179" i="7"/>
  <c r="P1190" i="7"/>
  <c r="K1169" i="7"/>
  <c r="S1189" i="7"/>
  <c r="S1165" i="7"/>
  <c r="M1180" i="7"/>
  <c r="L1162" i="7"/>
  <c r="K1164" i="7"/>
  <c r="J1167" i="7"/>
  <c r="U1188" i="7"/>
  <c r="O1189" i="7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R1207" i="7" l="1"/>
  <c r="K1207" i="7"/>
  <c r="K1208" i="7"/>
  <c r="R1208" i="7"/>
  <c r="S1207" i="7"/>
  <c r="U1208" i="7"/>
  <c r="J1207" i="7"/>
  <c r="N1207" i="7"/>
  <c r="O1207" i="7"/>
  <c r="L1207" i="7"/>
  <c r="L1208" i="7"/>
  <c r="K1196" i="7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P13" i="11"/>
  <c r="M13" i="11"/>
  <c r="P12" i="11"/>
  <c r="M12" i="11"/>
  <c r="P11" i="11"/>
  <c r="M11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P13" i="12" l="1"/>
  <c r="C11" i="12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<sst xmlns="http://schemas.openxmlformats.org/spreadsheetml/2006/main" count="27232" uniqueCount="1728">
  <si>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</si>
  <si>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</si>
  <si>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</si>
  <si>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</si>
  <si>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</si>
  <si>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</si>
  <si>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</si>
  <si>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</si>
  <si>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</si>
  <si>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</si>
  <si>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</si>
  <si>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</si>
  <si>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</si>
  <si>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</si>
  <si>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</si>
  <si>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</si>
  <si>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</si>
  <si>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</si>
  <si>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</si>
  <si>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</si>
  <si>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</si>
  <si>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</si>
  <si>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</si>
  <si>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</si>
  <si>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</si>
  <si>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</si>
  <si>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</si>
  <si>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</si>
  <si>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</si>
  <si>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</si>
  <si>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</si>
  <si>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</si>
  <si>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</si>
  <si>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</si>
  <si>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</si>
  <si>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</si>
  <si>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</si>
  <si>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</si>
  <si>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</si>
  <si>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</si>
  <si>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</si>
  <si>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</si>
  <si>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</si>
  <si>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</si>
  <si>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</si>
  <si>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</si>
  <si>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</si>
  <si>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</si>
  <si>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</si>
  <si>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</si>
  <si>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</si>
  <si>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</si>
  <si>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</si>
  <si>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</si>
  <si>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</si>
  <si>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</si>
  <si>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</si>
  <si>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</si>
  <si>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</si>
  <si>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</si>
  <si>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</si>
  <si>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</si>
  <si>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</si>
  <si>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</si>
  <si>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</si>
  <si>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</si>
  <si>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</si>
  <si>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</si>
  <si>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</si>
  <si>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</si>
  <si>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</si>
  <si>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</si>
  <si>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</si>
  <si>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</si>
  <si>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</si>
  <si>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</si>
  <si>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</si>
  <si>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</si>
  <si>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</si>
  <si>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</si>
  <si>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</si>
  <si>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</si>
  <si>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</si>
  <si>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</si>
  <si>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</si>
  <si>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</si>
  <si>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</si>
  <si>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</si>
  <si>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</si>
  <si>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</si>
  <si>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</si>
  <si>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</si>
  <si>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</si>
  <si>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</si>
  <si>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</si>
  <si>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</si>
  <si>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</si>
  <si>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</si>
  <si>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</si>
  <si>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</si>
  <si>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</si>
  <si>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</si>
  <si>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</si>
  <si>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</si>
  <si>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</si>
  <si>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</si>
  <si>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</si>
  <si>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</si>
  <si>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</si>
  <si>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</si>
  <si>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</si>
  <si>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</si>
  <si>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</si>
  <si>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</si>
  <si>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</si>
  <si>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</si>
  <si>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</si>
  <si>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</si>
  <si>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</si>
  <si>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</si>
  <si>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</si>
  <si>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</si>
  <si>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</si>
  <si>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</si>
  <si>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</si>
  <si>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</si>
  <si>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</si>
  <si>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</si>
  <si>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</si>
  <si>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</si>
  <si>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</si>
  <si>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</si>
  <si>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</si>
  <si>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</si>
  <si>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</si>
  <si>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</si>
  <si>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</si>
  <si>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</si>
  <si>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</si>
  <si>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</si>
  <si>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</si>
  <si>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</si>
  <si>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</si>
  <si>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</si>
  <si>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</si>
  <si>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</si>
  <si>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</si>
  <si>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</si>
  <si>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</si>
  <si>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</si>
  <si>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</si>
  <si>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</si>
  <si>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</si>
  <si>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</si>
  <si>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</si>
  <si>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</si>
  <si>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</si>
  <si>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</si>
  <si>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</si>
  <si>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</si>
  <si>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</si>
  <si>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</si>
  <si>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</si>
  <si>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</si>
  <si>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</si>
  <si>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</si>
  <si>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</si>
  <si>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</si>
  <si>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</si>
  <si>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</si>
  <si>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</si>
  <si>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</si>
  <si>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</si>
  <si>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</si>
  <si>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</si>
  <si>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</si>
  <si>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</si>
  <si>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</si>
  <si>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</si>
  <si>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</si>
  <si>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</si>
  <si>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</si>
  <si>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</si>
  <si>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</si>
  <si>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</si>
  <si>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</si>
  <si>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</si>
  <si>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</si>
  <si>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</si>
  <si>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</si>
  <si>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</si>
  <si>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</si>
  <si>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</si>
  <si>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</si>
  <si>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</si>
  <si>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</si>
  <si>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</si>
  <si>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</si>
  <si>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</si>
  <si>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</si>
  <si>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</si>
  <si>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</si>
  <si>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</si>
  <si>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</si>
  <si>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</si>
  <si>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</si>
  <si>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</si>
  <si>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</si>
  <si>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</si>
  <si>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</si>
  <si>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</si>
  <si>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</si>
  <si>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</si>
  <si>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</si>
  <si>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</si>
  <si>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</si>
  <si>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</si>
  <si>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</si>
  <si>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</si>
  <si>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</si>
  <si>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</si>
  <si>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</si>
  <si>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</si>
  <si>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</si>
  <si>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</si>
  <si>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</si>
  <si>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</si>
  <si>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</si>
  <si>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</si>
  <si>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</si>
  <si>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</si>
  <si>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</si>
  <si>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</si>
  <si>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</si>
  <si>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</si>
  <si>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</si>
  <si>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</si>
  <si>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</si>
  <si>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</si>
  <si>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</si>
  <si>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</si>
  <si>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</si>
  <si>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</si>
  <si>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</si>
  <si>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</si>
  <si>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</si>
  <si>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</si>
  <si>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</si>
  <si>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</si>
  <si>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</si>
  <si>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</si>
  <si>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</si>
  <si>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</si>
  <si>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</si>
  <si>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</si>
  <si>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</si>
  <si>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</si>
  <si>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</si>
  <si>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</si>
  <si>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</si>
  <si>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</si>
  <si>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</si>
  <si>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</si>
  <si>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</si>
  <si>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</si>
  <si>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</si>
  <si>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</si>
  <si>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</si>
  <si>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</si>
  <si>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</si>
  <si>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</si>
  <si>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</si>
  <si>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</si>
  <si>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</si>
  <si>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</si>
  <si>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</si>
  <si>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</si>
  <si>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</si>
  <si>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</si>
  <si>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</si>
  <si>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</si>
  <si>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</si>
  <si>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</si>
  <si>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</si>
  <si>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</si>
  <si>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</si>
  <si>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</si>
  <si>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</si>
  <si>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</si>
  <si>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</si>
  <si>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</si>
  <si>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</si>
  <si>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</si>
  <si>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</si>
  <si>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</si>
  <si>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</si>
  <si>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</si>
  <si>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</si>
  <si>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</si>
  <si>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</si>
  <si>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</si>
  <si>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</si>
  <si>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</si>
  <si>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</si>
  <si>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</si>
  <si>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</si>
  <si>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</si>
  <si>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</si>
  <si>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</si>
  <si>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</si>
  <si>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</si>
  <si>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</si>
  <si>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</si>
  <si>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</si>
  <si>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</si>
  <si>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</si>
  <si>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</si>
  <si>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</si>
  <si>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</si>
  <si>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</si>
  <si>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</si>
  <si>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</si>
  <si>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</si>
  <si>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</si>
  <si>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</si>
  <si>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</si>
  <si>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</si>
  <si>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</si>
  <si>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</si>
  <si>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</si>
  <si>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</si>
  <si>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</si>
  <si>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</si>
  <si>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</si>
  <si>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</si>
  <si>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</si>
  <si>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</si>
  <si>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</si>
  <si>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</si>
  <si>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</si>
  <si>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</si>
  <si>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</si>
  <si>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</si>
  <si>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</si>
  <si>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</si>
  <si>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</si>
  <si>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</si>
  <si>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</si>
  <si>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</si>
  <si>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</si>
  <si>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</si>
  <si>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</si>
  <si>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</si>
  <si>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</si>
  <si>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</si>
  <si>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</si>
  <si>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</si>
  <si>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</si>
  <si>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</si>
  <si>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</si>
  <si>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</si>
  <si>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</si>
  <si>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</si>
  <si>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</si>
  <si>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</si>
  <si>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</si>
  <si>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</si>
  <si>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</si>
  <si>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</si>
  <si>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</si>
  <si>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</si>
  <si>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</si>
  <si>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</si>
  <si>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</si>
  <si>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</si>
  <si>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</si>
  <si>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</si>
  <si>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</si>
  <si>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</si>
  <si>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</si>
  <si>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</si>
  <si>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</si>
  <si>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</si>
  <si>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</si>
  <si>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</si>
  <si>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</si>
  <si>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</si>
  <si>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</si>
  <si>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</si>
  <si>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</si>
  <si>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</si>
  <si>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</si>
  <si>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</si>
  <si>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</si>
  <si>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</si>
  <si>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</si>
  <si>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</si>
  <si>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</si>
  <si>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</si>
  <si>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</si>
  <si>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</si>
  <si>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</si>
  <si>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</si>
  <si>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</si>
  <si>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</si>
  <si>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</si>
  <si>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</si>
  <si>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</si>
  <si>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</si>
  <si>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</si>
  <si>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</si>
  <si>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</si>
  <si>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</si>
  <si>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</si>
  <si>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</si>
  <si>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</si>
  <si>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</si>
  <si>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</si>
  <si>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</si>
  <si>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</si>
  <si>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</si>
  <si>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</si>
  <si>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</si>
  <si>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</si>
  <si>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</si>
  <si>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</si>
  <si>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</si>
  <si>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</si>
  <si>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</si>
  <si>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</si>
  <si>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</si>
  <si>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</si>
  <si>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</si>
  <si>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</si>
  <si>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</si>
  <si>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</si>
  <si>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</si>
  <si>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</si>
  <si>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</si>
  <si>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</si>
  <si>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</si>
  <si>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</si>
  <si>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</si>
  <si>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</si>
  <si>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</si>
  <si>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</si>
  <si>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</si>
  <si>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</si>
  <si>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</si>
  <si>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</si>
  <si>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</si>
  <si>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</si>
  <si>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</si>
  <si>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</si>
  <si>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</si>
  <si>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</si>
  <si>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</si>
  <si>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</si>
  <si>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</si>
  <si>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</si>
  <si>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</si>
  <si>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</si>
  <si>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</si>
  <si>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</si>
  <si>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</si>
  <si>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</si>
  <si>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</si>
  <si>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</si>
  <si>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</si>
  <si>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</si>
  <si>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</si>
  <si>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</si>
  <si>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</si>
  <si>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</si>
  <si>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</si>
  <si>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</si>
  <si>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</si>
  <si>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</si>
  <si>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</si>
  <si>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</si>
  <si>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</si>
  <si>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</si>
  <si>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</si>
  <si>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</si>
  <si>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</si>
  <si>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</si>
  <si>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</si>
  <si>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</si>
  <si>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</si>
  <si>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</si>
  <si>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</si>
  <si>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</si>
  <si>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</si>
  <si>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</si>
  <si>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</si>
  <si>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</si>
  <si>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</si>
  <si>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</si>
  <si>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</si>
  <si>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</si>
  <si>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</si>
  <si>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</si>
  <si>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</si>
  <si>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</si>
  <si>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</si>
  <si>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</si>
  <si>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</si>
  <si>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</si>
  <si>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</si>
  <si>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</si>
  <si>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</si>
  <si>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</si>
  <si>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</si>
  <si>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</si>
  <si>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</si>
  <si>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</si>
  <si>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</si>
  <si>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</si>
  <si>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</si>
  <si>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</si>
  <si>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</si>
  <si>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</si>
  <si>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</si>
  <si>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</si>
  <si>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</si>
  <si>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</si>
  <si>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</si>
  <si>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</si>
  <si>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</si>
  <si>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</si>
  <si>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</si>
  <si>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</si>
  <si>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</si>
  <si>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</si>
  <si>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</si>
  <si>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</si>
  <si>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</si>
  <si>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</si>
  <si>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</si>
  <si>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</si>
  <si>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</si>
  <si>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</si>
  <si>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</si>
  <si>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</si>
  <si>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</si>
  <si>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</si>
  <si>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</si>
  <si>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</si>
  <si>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</si>
  <si>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</si>
  <si>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</si>
  <si>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</si>
  <si>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</si>
  <si>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</si>
  <si>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</si>
  <si>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</si>
  <si>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</si>
  <si>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</si>
  <si>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</si>
  <si>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</si>
  <si>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</si>
  <si>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</si>
  <si>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</si>
  <si>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</si>
  <si>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</si>
  <si>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</si>
  <si>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</si>
  <si>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</si>
  <si>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</si>
  <si>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</si>
  <si>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</si>
  <si>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</si>
  <si>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</si>
  <si>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</si>
  <si>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</si>
  <si>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</si>
  <si>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</si>
  <si>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</si>
  <si>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</si>
  <si>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</si>
  <si>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</si>
  <si>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</si>
  <si>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</si>
  <si>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</si>
  <si>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</si>
  <si>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</si>
  <si>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</si>
  <si>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</si>
  <si>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</si>
  <si>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</si>
  <si>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</si>
  <si>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</si>
  <si>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</si>
  <si>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</si>
  <si>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</si>
  <si>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</si>
  <si>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</si>
  <si>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</si>
  <si>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</si>
  <si>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</si>
  <si>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</si>
  <si>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</si>
  <si>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</si>
  <si>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</si>
  <si>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</si>
  <si>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</si>
  <si>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</si>
  <si>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</si>
  <si>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</si>
  <si>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</si>
  <si>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</si>
  <si>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</si>
  <si>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</si>
  <si>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</si>
  <si>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</si>
  <si>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</si>
  <si>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</si>
  <si>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</si>
  <si>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</si>
  <si>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</si>
  <si>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</si>
  <si>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</si>
  <si>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</si>
  <si>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</si>
  <si>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</si>
  <si>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</si>
  <si>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</si>
  <si>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</si>
  <si>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</si>
  <si>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</si>
  <si>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</si>
  <si>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</si>
  <si>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</si>
  <si>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</si>
  <si>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</si>
  <si>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</si>
  <si>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</si>
  <si>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</si>
  <si>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</si>
  <si>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</si>
  <si>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</si>
  <si>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</si>
  <si>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</si>
  <si>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</si>
  <si>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</si>
  <si>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</si>
  <si>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</si>
  <si>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</si>
  <si>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</si>
  <si>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</si>
  <si>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</si>
  <si>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</si>
  <si>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</si>
  <si>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</si>
  <si>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</si>
  <si>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</si>
  <si>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</si>
  <si>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</si>
  <si>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</si>
  <si>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</si>
  <si>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</si>
  <si>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</si>
  <si>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</si>
  <si>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</si>
  <si>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</si>
  <si>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</si>
  <si>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</si>
  <si>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</si>
  <si>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</si>
  <si>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</si>
  <si>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</si>
  <si>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</si>
  <si>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</si>
  <si>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</si>
  <si>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</si>
  <si>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</si>
  <si>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</si>
  <si>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</si>
  <si>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</si>
  <si>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</si>
  <si>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</si>
  <si>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</si>
  <si>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</si>
  <si>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</si>
  <si>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</si>
  <si>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</si>
  <si>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</si>
  <si>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</si>
  <si>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</si>
  <si>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</si>
  <si>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</si>
  <si>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</si>
  <si>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</si>
  <si>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</si>
  <si>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</si>
  <si>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</si>
  <si>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</si>
  <si>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</si>
  <si>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</si>
  <si>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</si>
  <si>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</si>
  <si>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</si>
  <si>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</si>
  <si>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</si>
  <si>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</si>
  <si>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</si>
  <si>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</si>
  <si>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</si>
  <si>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</si>
  <si>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</si>
  <si>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</si>
  <si>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</si>
  <si>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</si>
  <si>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</si>
  <si>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</si>
  <si>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</si>
  <si>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</si>
  <si>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</si>
  <si>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</si>
  <si>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</si>
  <si>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</si>
  <si>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</si>
  <si>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</si>
  <si>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</si>
  <si>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</si>
  <si>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</si>
  <si>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</si>
  <si>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</si>
  <si>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</si>
  <si>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</si>
  <si>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</si>
  <si>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</si>
  <si>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</si>
  <si>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</si>
  <si>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</si>
  <si>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</si>
  <si>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</si>
  <si>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</si>
  <si>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</si>
  <si>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</si>
  <si>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</si>
  <si>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</si>
  <si>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</si>
  <si>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</si>
  <si>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</si>
  <si>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</si>
  <si>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</si>
  <si>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</si>
  <si>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</si>
  <si>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</si>
  <si>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</si>
  <si>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</si>
  <si>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</si>
  <si>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</si>
  <si>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</si>
  <si>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</si>
  <si>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</si>
  <si>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</si>
  <si>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</si>
  <si>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</si>
  <si>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</si>
  <si>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</si>
  <si>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</si>
  <si>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</si>
  <si>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</si>
  <si>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</si>
  <si>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</si>
  <si>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</si>
  <si>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</si>
  <si>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</si>
  <si>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</si>
  <si>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</si>
  <si>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</si>
  <si>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</si>
  <si>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</si>
  <si>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</si>
  <si>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</si>
  <si>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</si>
  <si>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</si>
  <si>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</si>
  <si>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</si>
  <si>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</si>
  <si>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</si>
  <si>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</si>
  <si>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</si>
  <si>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</si>
  <si>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</si>
  <si>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</si>
  <si>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</si>
  <si>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</si>
  <si>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</si>
  <si>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</si>
  <si>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</si>
  <si>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</si>
  <si>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</si>
  <si>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</si>
  <si>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</si>
  <si>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</si>
  <si>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</si>
  <si>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</si>
  <si>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</si>
  <si>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</si>
  <si>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</si>
  <si>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</si>
  <si>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</si>
  <si>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</si>
  <si>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</si>
  <si>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</si>
  <si>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</si>
  <si>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</si>
  <si>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</si>
  <si>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</si>
  <si>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</si>
  <si>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</si>
  <si>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</si>
  <si>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</si>
  <si>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</si>
  <si>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</si>
  <si>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</si>
  <si>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</si>
  <si>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</si>
  <si>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</si>
  <si>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</si>
  <si>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</si>
  <si>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</si>
  <si>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</si>
  <si>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</si>
  <si>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</si>
  <si>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</si>
  <si>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</si>
  <si>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</si>
  <si>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</si>
  <si>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</si>
  <si>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</si>
  <si>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</si>
  <si>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</si>
  <si>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</si>
  <si>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</si>
  <si>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</si>
  <si>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</si>
  <si>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</si>
  <si>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</si>
  <si>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</si>
  <si>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</si>
  <si>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</si>
  <si>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</si>
  <si>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</si>
  <si>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</si>
  <si>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</si>
  <si>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</si>
  <si>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</si>
  <si>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</si>
  <si>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</si>
  <si>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</si>
  <si>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</si>
  <si>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</si>
  <si>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</si>
  <si>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</si>
  <si>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</si>
  <si>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</si>
  <si>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</si>
  <si>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</si>
  <si>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</si>
  <si>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</si>
  <si>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</si>
  <si>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</si>
  <si>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</si>
  <si>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</si>
  <si>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</si>
  <si>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</si>
  <si>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</si>
  <si>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</si>
  <si>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</si>
  <si>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</si>
  <si>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</si>
  <si>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</si>
  <si>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</si>
  <si>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</si>
  <si>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</si>
  <si>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</si>
  <si>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</si>
  <si>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</si>
  <si>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</si>
  <si>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</si>
  <si>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</si>
  <si>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</si>
  <si>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</si>
  <si>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</si>
  <si>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</si>
  <si>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</si>
  <si>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</si>
  <si>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</si>
  <si>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</si>
  <si>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</si>
  <si>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</si>
  <si>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</si>
  <si>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</si>
  <si>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</si>
  <si>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</si>
  <si>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</si>
  <si>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</si>
  <si>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</si>
  <si>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</si>
  <si>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</si>
  <si>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</si>
  <si>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</si>
  <si>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</si>
  <si>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</si>
  <si>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</si>
  <si>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</si>
  <si>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</si>
  <si>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</si>
  <si>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</si>
  <si>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</si>
  <si>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</si>
  <si>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</si>
  <si>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</si>
  <si>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</si>
  <si>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</si>
  <si>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</si>
  <si>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</si>
  <si>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</si>
  <si>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</si>
  <si>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</si>
  <si>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</si>
  <si>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</si>
  <si>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</si>
  <si>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</si>
  <si>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</si>
  <si>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</si>
  <si>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</si>
  <si>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</si>
  <si>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</si>
  <si>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</si>
  <si>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</si>
  <si>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</si>
  <si>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</si>
  <si>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</si>
  <si>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</si>
  <si>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</si>
  <si>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</si>
  <si>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</si>
  <si>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</si>
  <si>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</si>
  <si>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</si>
  <si>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</si>
  <si>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</si>
  <si>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</si>
  <si>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</si>
  <si>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</si>
  <si>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</si>
  <si>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</si>
  <si>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</si>
  <si>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</si>
  <si>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</si>
  <si>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</si>
  <si>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</si>
  <si>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</si>
  <si>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</si>
  <si>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</si>
  <si>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</si>
  <si>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</si>
  <si>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</si>
  <si>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</si>
  <si>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</si>
  <si>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</si>
  <si>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</si>
  <si>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</si>
  <si>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</si>
  <si>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</si>
  <si>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</si>
  <si>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</si>
  <si>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</si>
  <si>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</si>
  <si>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</si>
  <si>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</si>
  <si>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</si>
  <si>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</si>
  <si>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</si>
  <si>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</si>
  <si>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</si>
  <si>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</si>
  <si>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</si>
  <si>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</si>
  <si>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</si>
  <si>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</si>
  <si>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</si>
  <si>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</si>
  <si>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</si>
  <si>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</si>
  <si>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</si>
  <si>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</si>
  <si>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</si>
  <si>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</si>
  <si>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</si>
  <si>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</si>
  <si>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</si>
  <si>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</si>
  <si>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</si>
  <si>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</si>
  <si>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</si>
  <si>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</si>
  <si>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</si>
  <si>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</si>
  <si>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</si>
  <si>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</si>
  <si>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</si>
  <si>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</si>
  <si>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</si>
  <si>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</si>
  <si>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</si>
  <si>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</si>
  <si>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</si>
  <si>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</si>
  <si>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</si>
  <si>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</si>
  <si>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</si>
  <si>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</si>
  <si>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</si>
  <si>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</si>
  <si>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</si>
  <si>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</si>
  <si>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</si>
  <si>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</si>
  <si>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</si>
  <si>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</si>
  <si>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</si>
  <si>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</si>
  <si>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</si>
  <si>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</si>
  <si>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</si>
  <si>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</si>
  <si>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</si>
  <si>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</si>
  <si>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</si>
  <si>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</si>
  <si>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</si>
  <si>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</si>
  <si>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</si>
  <si>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</si>
  <si>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</si>
  <si>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</si>
  <si>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</si>
  <si>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</si>
  <si>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</si>
  <si>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</si>
  <si>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</si>
  <si>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</si>
  <si>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</si>
  <si>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</si>
  <si>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</si>
  <si>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</si>
  <si>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</si>
  <si>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</si>
  <si>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</si>
  <si>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</si>
  <si>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</si>
  <si>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</si>
  <si>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</si>
  <si>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</si>
  <si>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</si>
  <si>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</si>
  <si>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</si>
  <si>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</si>
  <si>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</si>
  <si>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</si>
  <si>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</si>
  <si>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</si>
  <si>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</si>
  <si>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</si>
  <si>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</si>
  <si>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</si>
  <si>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</si>
  <si>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</si>
  <si>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</si>
  <si>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</si>
  <si>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</si>
  <si>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</si>
  <si>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</si>
  <si>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</si>
  <si>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</si>
  <si>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</si>
  <si>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</si>
  <si>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</si>
  <si>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</si>
  <si>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</si>
  <si>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</si>
  <si>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</si>
  <si>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</si>
  <si>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</si>
  <si>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</si>
  <si>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</si>
  <si>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</si>
  <si>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</si>
  <si>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</si>
  <si>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</si>
  <si>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</si>
  <si>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</si>
  <si>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</si>
  <si>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</si>
  <si>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</si>
  <si>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</si>
  <si>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</si>
  <si>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</si>
  <si>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</si>
  <si>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</si>
  <si>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</si>
  <si>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</si>
  <si>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</si>
  <si>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</si>
  <si>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</si>
  <si>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</si>
  <si>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</si>
  <si>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</si>
  <si>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</si>
  <si>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</si>
  <si>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</si>
  <si>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</si>
  <si>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</si>
  <si>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</si>
  <si>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</si>
  <si>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</si>
  <si>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</si>
  <si>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</si>
  <si>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</si>
  <si>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</si>
  <si>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</si>
  <si>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</si>
  <si>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</si>
  <si>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</si>
  <si>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</si>
  <si>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</si>
  <si>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</si>
  <si>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</si>
  <si>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</si>
  <si>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</si>
  <si>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</si>
  <si>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</si>
  <si>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</si>
  <si>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</si>
  <si>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</si>
  <si>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</si>
  <si>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</si>
  <si>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</si>
  <si>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</si>
  <si>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</si>
  <si>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</si>
  <si>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</si>
  <si>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</si>
  <si>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</si>
  <si>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</si>
  <si>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</si>
  <si>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</si>
  <si>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</si>
  <si>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</si>
  <si>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</si>
  <si>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</si>
  <si>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</si>
  <si>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</si>
  <si>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</si>
  <si>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</si>
  <si>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</si>
  <si>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</si>
  <si>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</si>
  <si>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</si>
  <si>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</si>
  <si>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</si>
  <si>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</si>
  <si>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</si>
  <si>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</si>
  <si>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</si>
  <si>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</si>
  <si>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</si>
  <si>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</si>
  <si>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</si>
  <si>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</si>
  <si>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</si>
  <si>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</si>
  <si>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</si>
  <si>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</si>
  <si>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</si>
  <si>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</si>
  <si>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</si>
  <si>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</si>
  <si>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</si>
  <si>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</si>
  <si>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</si>
  <si>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</si>
  <si>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</si>
  <si>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</si>
  <si>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</si>
  <si>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</si>
  <si>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</si>
  <si>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</si>
  <si>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</si>
  <si>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</si>
  <si>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</si>
  <si>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</si>
  <si>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</si>
  <si>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</si>
  <si>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</si>
  <si>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</si>
  <si>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</si>
  <si>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</si>
  <si>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</si>
  <si>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</si>
  <si>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</si>
  <si>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</si>
  <si>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</si>
  <si>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</si>
  <si>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</si>
  <si>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</si>
  <si>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</si>
  <si>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</si>
  <si>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</si>
  <si>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</si>
  <si>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</si>
  <si>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</si>
  <si>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</si>
  <si>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</si>
  <si>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</si>
  <si>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</si>
  <si>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</si>
  <si>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</si>
  <si>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</si>
  <si>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</si>
  <si>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</si>
  <si>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</si>
  <si>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</si>
  <si>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</si>
  <si>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</si>
  <si>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</si>
  <si>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</si>
  <si>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</si>
  <si>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</si>
  <si>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</si>
  <si>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</si>
  <si>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</si>
  <si>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</si>
  <si>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</si>
  <si>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</si>
  <si>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</si>
  <si>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</si>
  <si>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</si>
  <si>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</si>
  <si>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</si>
  <si>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</si>
  <si>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</si>
  <si>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</si>
  <si>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</si>
  <si>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</si>
  <si>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</si>
  <si>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</si>
  <si>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</si>
  <si>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</si>
  <si>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</si>
  <si>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</si>
  <si>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</si>
  <si>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</si>
  <si>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</si>
  <si>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</si>
  <si>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</si>
  <si>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</si>
  <si>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</si>
  <si>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</si>
  <si>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</si>
  <si>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</si>
  <si>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</si>
  <si>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</si>
  <si>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</si>
  <si>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</si>
  <si>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</si>
  <si>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</si>
  <si>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</si>
  <si>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</si>
  <si>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</si>
  <si>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</si>
  <si>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</si>
  <si>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</si>
  <si>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</si>
  <si>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</si>
  <si>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</si>
  <si>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</si>
  <si>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</si>
  <si>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</si>
  <si>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</si>
  <si>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</si>
  <si>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</si>
  <si>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</si>
  <si>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</si>
  <si>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</si>
  <si>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</si>
  <si>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</si>
  <si>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</si>
  <si>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</si>
  <si>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</si>
  <si>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</si>
  <si>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</si>
  <si>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</si>
  <si>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</si>
  <si>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</si>
  <si>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</si>
  <si>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</si>
  <si>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</si>
  <si>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</si>
  <si>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</si>
  <si>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</si>
  <si>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</si>
  <si>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</si>
  <si>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</si>
  <si>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</si>
  <si>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</si>
  <si>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</si>
  <si>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</si>
  <si>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</si>
  <si>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</si>
  <si>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</si>
  <si>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</si>
  <si>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</si>
  <si>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</si>
  <si>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</si>
  <si>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</si>
  <si>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</si>
  <si>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</si>
  <si>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</si>
  <si>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</si>
  <si>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</si>
  <si>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</si>
  <si>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</si>
  <si>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</si>
  <si>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</si>
  <si>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</si>
  <si>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</si>
  <si>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</si>
  <si>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</si>
  <si>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</si>
  <si>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</si>
  <si>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</si>
  <si>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</si>
  <si>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</si>
  <si>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</si>
  <si>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</si>
  <si>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</si>
  <si>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</si>
  <si>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</si>
  <si>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</si>
  <si>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</si>
  <si>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</si>
  <si>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</si>
  <si>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</si>
  <si>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</si>
  <si>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</si>
  <si>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</si>
  <si>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</si>
  <si>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</si>
  <si>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</si>
  <si>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</si>
  <si>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</si>
  <si>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</si>
  <si>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</si>
  <si>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</si>
  <si>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</si>
  <si>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</si>
  <si>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</si>
  <si>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</si>
  <si>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</si>
  <si>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</si>
  <si>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</si>
  <si>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</si>
  <si>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</si>
  <si>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</si>
  <si>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</si>
  <si>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</si>
  <si>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</si>
  <si>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</si>
  <si>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</si>
  <si>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</si>
  <si>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</si>
  <si>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</si>
  <si>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</si>
  <si>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</si>
  <si>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</si>
  <si>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</si>
  <si>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</si>
  <si>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</si>
  <si>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</si>
  <si>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</si>
  <si>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</si>
  <si>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</si>
  <si>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</si>
  <si>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</si>
  <si>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</si>
  <si>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</si>
  <si>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</si>
  <si>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</si>
  <si>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</si>
  <si>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</si>
  <si>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</si>
  <si>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</si>
  <si>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</si>
  <si>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</si>
  <si>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</si>
  <si>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</si>
  <si>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</si>
  <si>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</si>
  <si>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</si>
  <si>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</si>
  <si>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</si>
  <si>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</si>
  <si>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</si>
  <si>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</si>
  <si>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</si>
  <si>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</si>
  <si>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</si>
  <si>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</si>
  <si>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</si>
  <si>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</si>
  <si>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</si>
  <si>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</si>
  <si>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</si>
  <si>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</si>
  <si>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</si>
  <si>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</si>
  <si>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</si>
  <si>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</si>
  <si>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</si>
  <si>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</si>
  <si>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</si>
  <si>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</si>
  <si>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</si>
  <si>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</si>
  <si>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</si>
  <si>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</si>
  <si>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</si>
  <si>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</si>
  <si>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</si>
  <si>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</si>
  <si>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</si>
  <si>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</si>
  <si>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</si>
  <si>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</si>
  <si>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</si>
  <si>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</si>
  <si>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</si>
  <si>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</si>
  <si>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</si>
  <si>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</si>
  <si>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</si>
  <si>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</si>
  <si>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</si>
  <si>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</si>
  <si>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</si>
  <si>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</si>
  <si>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</si>
  <si>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</si>
  <si>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</si>
  <si>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</si>
  <si>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</si>
  <si>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</si>
  <si>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</si>
  <si>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</si>
  <si>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</si>
  <si>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</si>
  <si>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</si>
  <si>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</si>
  <si>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</si>
  <si>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</si>
  <si>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</si>
  <si>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</si>
  <si>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</si>
  <si>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</si>
  <si>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</si>
  <si>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</si>
  <si>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</si>
  <si>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</si>
  <si>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</si>
  <si>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</si>
  <si>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</si>
  <si>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</si>
  <si>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</si>
  <si>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</si>
  <si>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</si>
  <si>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</si>
  <si>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</si>
  <si>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</si>
  <si>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</si>
  <si>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</si>
  <si>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</si>
  <si>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</si>
  <si>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</si>
  <si>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</si>
  <si>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</si>
  <si>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</si>
  <si>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</si>
  <si>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</si>
  <si>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</si>
  <si>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</si>
  <si>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</si>
  <si>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</si>
  <si>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</si>
  <si>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</si>
  <si>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</si>
  <si>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</si>
  <si>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</si>
  <si>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</si>
  <si>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</si>
  <si>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</si>
  <si>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</si>
  <si>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</si>
  <si>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</si>
  <si>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</si>
  <si>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</si>
  <si>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</si>
  <si>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</si>
  <si>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</si>
  <si>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</si>
  <si>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</si>
  <si>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</si>
  <si>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</si>
  <si>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</si>
  <si>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</si>
  <si>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</si>
  <si>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</si>
  <si>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</si>
  <si>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</si>
  <si>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</si>
  <si>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</si>
  <si>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</si>
  <si>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</si>
  <si>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</si>
  <si>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</si>
  <si>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</si>
  <si>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</si>
  <si>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</si>
  <si>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</si>
  <si>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</si>
  <si>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</si>
  <si>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</si>
  <si>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</si>
  <si>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</si>
  <si>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</si>
  <si>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</si>
  <si>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</si>
  <si>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</si>
  <si>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</si>
  <si>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</si>
  <si>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</si>
  <si>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</si>
  <si>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</si>
  <si>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</si>
  <si>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</si>
  <si>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</si>
  <si>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</si>
  <si>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</si>
  <si>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</si>
  <si>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</si>
  <si>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</si>
  <si>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</si>
  <si>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</si>
  <si>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</si>
  <si>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</si>
  <si>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</si>
  <si>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</si>
  <si>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</si>
  <si>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</si>
  <si>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</si>
  <si>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</si>
  <si>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</si>
  <si>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</si>
  <si>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</si>
  <si>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</si>
  <si>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</si>
  <si>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</si>
  <si>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</si>
  <si>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</si>
  <si>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</si>
  <si>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</si>
  <si>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</si>
  <si>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</si>
  <si>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</si>
  <si>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</si>
  <si>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</si>
  <si>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</si>
  <si>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</si>
  <si>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</si>
  <si>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</si>
  <si>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</si>
  <si>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</si>
  <si>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</si>
  <si>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</si>
  <si>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</si>
  <si>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</si>
  <si>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</si>
  <si>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</si>
  <si>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</si>
  <si>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</si>
  <si>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</si>
  <si>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</si>
  <si>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</si>
  <si>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</si>
  <si>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</si>
  <si>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</si>
  <si>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</si>
  <si>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</si>
  <si>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</si>
  <si>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</si>
  <si>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</si>
  <si>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</si>
  <si>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</si>
  <si>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</si>
  <si>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</si>
  <si>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</si>
  <si>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</si>
  <si>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</si>
  <si>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</si>
  <si>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</si>
  <si>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</si>
  <si>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</si>
  <si>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</si>
  <si>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</si>
  <si>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</si>
  <si>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</si>
  <si>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</si>
  <si>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</si>
  <si>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</si>
  <si>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</si>
  <si>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</si>
  <si>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</si>
  <si>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</si>
  <si>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</si>
  <si>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</si>
  <si>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</si>
  <si>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</si>
  <si>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</si>
  <si>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</si>
  <si>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</si>
  <si>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</si>
  <si>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</si>
  <si>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</si>
  <si>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</si>
  <si>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</si>
  <si>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</si>
  <si>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</si>
  <si>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</si>
  <si>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</si>
  <si>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</si>
  <si>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</si>
  <si>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</si>
  <si>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</si>
  <si>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</si>
  <si>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</si>
  <si>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</si>
  <si>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</si>
  <si>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</si>
  <si>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</si>
  <si>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</si>
  <si>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</si>
  <si>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</si>
  <si>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</si>
  <si>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</si>
  <si>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</si>
  <si>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</si>
  <si>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</si>
  <si>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</si>
  <si>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</si>
  <si>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</si>
  <si>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</si>
  <si>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</si>
  <si>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</si>
  <si>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</si>
  <si>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</si>
  <si>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</si>
  <si>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</si>
  <si>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</si>
  <si>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</si>
  <si>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</si>
  <si>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</si>
  <si>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</si>
  <si>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</si>
  <si>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</si>
  <si>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</si>
  <si>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</si>
  <si>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</si>
  <si>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</si>
  <si>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</si>
  <si>
    <t>cycle 17 completed</t>
  </si>
  <si>
    <t>G5 - T69 TO T81 -13  Tables Grass Cutting work Completed</t>
  </si>
  <si>
    <t>G5 - T62 TO T68 -7  Tables Grass Cutting work Completed</t>
  </si>
  <si>
    <t>G5 - T48 TO T61 -14  Tables Grass Cutting work Completed</t>
  </si>
  <si>
    <t>T53</t>
  </si>
  <si>
    <t>FY2025-27</t>
  </si>
  <si>
    <t>FY2025-28</t>
  </si>
  <si>
    <t>FY2025-29</t>
  </si>
  <si>
    <t>FY2025-30</t>
  </si>
  <si>
    <t>FY2025-31</t>
  </si>
  <si>
    <t>FY2025-32</t>
  </si>
  <si>
    <t>FY2025-33</t>
  </si>
  <si>
    <t>FY2025-34</t>
  </si>
  <si>
    <t>FY2025-35</t>
  </si>
  <si>
    <t>FY2025-36</t>
  </si>
  <si>
    <t>FY2025-37</t>
  </si>
  <si>
    <t>FY2025-38</t>
  </si>
  <si>
    <t>FY2025-39</t>
  </si>
  <si>
    <t>FY2025-40</t>
  </si>
  <si>
    <t>FY2025-41</t>
  </si>
  <si>
    <t>FY2025-42</t>
  </si>
  <si>
    <t>FY2025-43</t>
  </si>
  <si>
    <t>FY2025-44</t>
  </si>
  <si>
    <t>FY2025-45</t>
  </si>
  <si>
    <t>FY2025-46</t>
  </si>
  <si>
    <t>FY2025-47</t>
  </si>
  <si>
    <t>FY2025-48</t>
  </si>
  <si>
    <t>FY2025-49</t>
  </si>
  <si>
    <t>FY2025-50</t>
  </si>
  <si>
    <t>FY2025-51</t>
  </si>
  <si>
    <t>FY2025-52</t>
  </si>
  <si>
    <t>FY2025-53</t>
  </si>
  <si>
    <t>FY2025-54</t>
  </si>
  <si>
    <t>FY2025-55</t>
  </si>
  <si>
    <t>FY2025-56</t>
  </si>
  <si>
    <t>FY2025-57</t>
  </si>
  <si>
    <t>FY2025-58</t>
  </si>
  <si>
    <t>FY2025-59</t>
  </si>
  <si>
    <t>FY2025-60</t>
  </si>
  <si>
    <t>FY2025-61</t>
  </si>
  <si>
    <t>FY2025-62</t>
  </si>
  <si>
    <t>FY2025-63</t>
  </si>
  <si>
    <t>FY2025-64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</si>
</sst>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43" fontId="49" fillId="0" borderId="0" applyFont="0" applyFill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9" fontId="49" fillId="0" borderId="0" applyFont="0" applyFill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28" fillId="2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28" fillId="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28" fillId="3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2" fillId="3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9" fontId="35" fillId="29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36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36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3" fillId="0" borderId="17" applyNumberFormat="0" applyFill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1" fillId="0" borderId="0" applyNumberFormat="0" applyFill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5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28" fillId="3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36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5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33" fillId="0" borderId="0" applyNumberFormat="0" applyFill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7" fillId="0" borderId="0" applyNumberFormat="0" applyFill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0" fillId="0" borderId="18" applyNumberFormat="0" applyFill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36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43" fontId="49" fillId="0" borderId="0" applyFont="0" applyFill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27" fillId="27" borderId="16" applyNumberForma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28" fillId="3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6" fillId="3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5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11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4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8" borderId="0" applyNumberFormat="0" applyBorder="0" applyAlignment="0" applyProtection="0"/>
    <xf numFmtId="0" fontId="49" fillId="0" borderId="0"/>
    <xf numFmtId="0" fontId="28" fillId="3" borderId="0" applyNumberFormat="0" applyBorder="0" applyAlignment="0" applyProtection="0"/>
    <xf numFmtId="0" fontId="32" fillId="26" borderId="15" applyNumberFormat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4" fillId="31" borderId="0" applyNumberFormat="0" applyBorder="0" applyAlignment="0" applyProtection="0"/>
    <xf numFmtId="0" fontId="49" fillId="0" borderId="0"/>
    <xf numFmtId="0" fontId="38" fillId="0" borderId="19" applyNumberFormat="0" applyFill="0" applyAlignment="0" applyProtection="0"/>
    <xf numFmtId="0" fontId="34" fillId="0" borderId="20" applyNumberFormat="0" applyFill="0" applyAlignment="0" applyProtection="0"/>
    <xf numFmtId="0" fontId="33" fillId="0" borderId="21" applyNumberFormat="0" applyFill="0" applyAlignment="0" applyProtection="0"/>
    <xf numFmtId="0" fontId="49" fillId="21" borderId="13" applyNumberFormat="0" applyFont="0" applyAlignment="0" applyProtection="0"/>
    <xf numFmtId="0" fontId="48" fillId="32" borderId="15" applyNumberFormat="0" applyAlignment="0" applyProtection="0"/>
    <xf numFmtId="0" fontId="46" fillId="34" borderId="0" applyNumberFormat="0" applyBorder="0" applyAlignment="0" applyProtection="0"/>
    <xf numFmtId="0" fontId="36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9" fillId="0" borderId="0"/>
    <xf numFmtId="0" fontId="49" fillId="0" borderId="0"/>
    <xf numFmtId="165" fontId="49" fillId="0" borderId="0"/>
    <xf numFmtId="0" fontId="39" fillId="0" borderId="0"/>
    <xf numFmtId="0" fontId="37" fillId="0" borderId="0"/>
    <xf numFmtId="0" fontId="49" fillId="0" borderId="0"/>
    <xf numFmtId="0" fontId="37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3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31" fillId="26" borderId="14" applyNumberFormat="0" applyAlignment="0" applyProtection="0"/>
    <xf numFmtId="9" fontId="4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</cellStyleXfs>
  <cellXfs count="28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3" fillId="3" borderId="1" xfId="23226" applyFont="1" applyFill="1" applyBorder="1" applyAlignment="1">
      <alignment horizontal="center" vertical="center" wrapText="1"/>
    </xf>
    <xf numFmtId="168" fontId="23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23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23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23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4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4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4" fillId="3" borderId="7" xfId="23226" applyFont="1" applyFill="1" applyBorder="1" applyAlignment="1">
      <alignment horizontal="center" vertical="center" wrapText="1"/>
    </xf>
    <xf numFmtId="168" fontId="24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4" fillId="3" borderId="3" xfId="23226" applyFont="1" applyFill="1" applyBorder="1" applyAlignment="1">
      <alignment horizontal="center" vertical="center" wrapText="1"/>
    </xf>
    <xf numFmtId="0" fontId="24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4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23" fillId="3" borderId="12" xfId="23226" applyFont="1" applyFill="1" applyBorder="1" applyAlignment="1">
      <alignment horizontal="center" vertical="center" wrapText="1"/>
    </xf>
    <xf numFmtId="168" fontId="23" fillId="3" borderId="3" xfId="23226" applyNumberFormat="1" applyFont="1" applyFill="1" applyBorder="1" applyAlignment="1">
      <alignment horizontal="center" vertical="center" wrapText="1"/>
    </xf>
    <xf numFmtId="0" fontId="23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7" fillId="8" borderId="1" xfId="0" applyFont="1" applyFill="1" applyBorder="1" applyAlignment="1">
      <alignment vertical="center"/>
    </xf>
    <xf numFmtId="0" fontId="27" fillId="8" borderId="1" xfId="0" applyFont="1" applyFill="1" applyBorder="1" applyAlignment="1">
      <alignment horizontal="center" vertical="center" wrapText="1"/>
    </xf>
    <xf numFmtId="17" fontId="28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7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50" fillId="5" borderId="1" xfId="0" applyFont="1" applyFill="1" applyBorder="1" applyAlignment="1">
      <alignment horizontal="center"/>
    </xf>
    <xf numFmtId="17" fontId="50" fillId="5" borderId="1" xfId="0" applyNumberFormat="1" applyFont="1" applyFill="1" applyBorder="1"/>
    <xf numFmtId="15" fontId="50" fillId="5" borderId="1" xfId="0" applyNumberFormat="1" applyFont="1" applyFill="1" applyBorder="1"/>
    <xf numFmtId="0" fontId="50" fillId="5" borderId="10" xfId="0" applyFont="1" applyFill="1" applyBorder="1" applyAlignment="1">
      <alignment horizontal="center"/>
    </xf>
    <xf numFmtId="17" fontId="50" fillId="5" borderId="10" xfId="0" applyNumberFormat="1" applyFont="1" applyFill="1" applyBorder="1"/>
    <xf numFmtId="15" fontId="50" fillId="5" borderId="10" xfId="0" applyNumberFormat="1" applyFont="1" applyFill="1" applyBorder="1"/>
    <xf numFmtId="0" fontId="51" fillId="0" borderId="0" xfId="0" applyFont="1" applyAlignment="1">
      <alignment horizontal="center"/>
    </xf>
    <xf numFmtId="0" fontId="29" fillId="13" borderId="22" xfId="0" applyFont="1" applyFill="1" applyBorder="1"/>
    <xf numFmtId="168" fontId="30" fillId="13" borderId="23" xfId="14686" applyNumberFormat="1" applyFont="1" applyFill="1" applyBorder="1" applyAlignment="1">
      <alignment horizontal="left" vertical="center"/>
    </xf>
    <xf numFmtId="168" fontId="30" fillId="13" borderId="24" xfId="14686" applyNumberFormat="1" applyFont="1" applyFill="1" applyBorder="1" applyAlignment="1">
      <alignment horizontal="left" vertical="center"/>
    </xf>
    <xf numFmtId="0" fontId="50" fillId="5" borderId="8" xfId="0" applyFont="1" applyFill="1" applyBorder="1" applyAlignment="1">
      <alignment horizontal="center"/>
    </xf>
    <xf numFmtId="0" fontId="50" fillId="5" borderId="25" xfId="0" applyFont="1" applyFill="1" applyBorder="1" applyAlignment="1">
      <alignment horizontal="center"/>
    </xf>
    <xf numFmtId="15" fontId="50" fillId="5" borderId="8" xfId="0" applyNumberFormat="1" applyFont="1" applyFill="1" applyBorder="1"/>
    <xf numFmtId="0" fontId="54" fillId="14" borderId="29" xfId="0" applyFont="1" applyFill="1" applyBorder="1"/>
    <xf numFmtId="0" fontId="54" fillId="14" borderId="32" xfId="0" applyFont="1" applyFill="1" applyBorder="1"/>
    <xf numFmtId="0" fontId="54" fillId="14" borderId="26" xfId="0" applyFont="1" applyFill="1" applyBorder="1" applyAlignment="1">
      <alignment horizontal="center" vertical="center" wrapText="1"/>
    </xf>
    <xf numFmtId="0" fontId="54" fillId="14" borderId="27" xfId="0" applyFont="1" applyFill="1" applyBorder="1" applyAlignment="1">
      <alignment horizontal="center" vertical="center" wrapText="1"/>
    </xf>
    <xf numFmtId="0" fontId="56" fillId="13" borderId="29" xfId="0" applyFont="1" applyFill="1" applyBorder="1" applyAlignment="1">
      <alignment horizontal="center" vertical="center"/>
    </xf>
    <xf numFmtId="0" fontId="56" fillId="13" borderId="30" xfId="0" applyFont="1" applyFill="1" applyBorder="1"/>
    <xf numFmtId="1" fontId="55" fillId="13" borderId="30" xfId="14686" applyNumberFormat="1" applyFont="1" applyFill="1" applyBorder="1" applyAlignment="1">
      <alignment horizontal="center" vertical="center"/>
    </xf>
    <xf numFmtId="3" fontId="56" fillId="13" borderId="30" xfId="0" applyNumberFormat="1" applyFont="1" applyFill="1" applyBorder="1" applyAlignment="1">
      <alignment horizontal="center"/>
    </xf>
    <xf numFmtId="10" fontId="56" fillId="13" borderId="30" xfId="34037" applyNumberFormat="1" applyFont="1" applyFill="1" applyBorder="1" applyAlignment="1">
      <alignment horizontal="center"/>
    </xf>
    <xf numFmtId="1" fontId="56" fillId="0" borderId="30" xfId="0" applyNumberFormat="1" applyFont="1" applyBorder="1" applyAlignment="1">
      <alignment horizontal="center"/>
    </xf>
    <xf numFmtId="1" fontId="56" fillId="13" borderId="30" xfId="0" applyNumberFormat="1" applyFont="1" applyFill="1" applyBorder="1" applyAlignment="1">
      <alignment horizontal="center"/>
    </xf>
    <xf numFmtId="164" fontId="55" fillId="13" borderId="30" xfId="96" applyNumberFormat="1" applyFont="1" applyFill="1" applyBorder="1" applyAlignment="1">
      <alignment horizontal="center" vertical="center"/>
    </xf>
    <xf numFmtId="164" fontId="56" fillId="13" borderId="30" xfId="96" applyNumberFormat="1" applyFont="1" applyFill="1" applyBorder="1" applyAlignment="1">
      <alignment horizontal="center"/>
    </xf>
    <xf numFmtId="164" fontId="55" fillId="13" borderId="30" xfId="34037" applyNumberFormat="1" applyFont="1" applyFill="1" applyBorder="1" applyAlignment="1">
      <alignment horizontal="center" vertical="center"/>
    </xf>
    <xf numFmtId="0" fontId="56" fillId="13" borderId="32" xfId="0" applyFont="1" applyFill="1" applyBorder="1" applyAlignment="1">
      <alignment horizontal="center" vertical="center"/>
    </xf>
    <xf numFmtId="0" fontId="56" fillId="13" borderId="36" xfId="0" applyFont="1" applyFill="1" applyBorder="1"/>
    <xf numFmtId="164" fontId="56" fillId="13" borderId="36" xfId="96" applyNumberFormat="1" applyFont="1" applyFill="1" applyBorder="1" applyAlignment="1">
      <alignment horizontal="center"/>
    </xf>
    <xf numFmtId="10" fontId="56" fillId="13" borderId="36" xfId="34037" applyNumberFormat="1" applyFont="1" applyFill="1" applyBorder="1" applyAlignment="1">
      <alignment horizontal="center"/>
    </xf>
    <xf numFmtId="0" fontId="22" fillId="0" borderId="0" xfId="34038"/>
    <xf numFmtId="0" fontId="22" fillId="0" borderId="1" xfId="34038" applyBorder="1"/>
    <xf numFmtId="14" fontId="22" fillId="0" borderId="1" xfId="34038" applyNumberFormat="1" applyBorder="1"/>
    <xf numFmtId="1" fontId="22" fillId="0" borderId="1" xfId="34038" applyNumberFormat="1" applyBorder="1"/>
    <xf numFmtId="43" fontId="0" fillId="0" borderId="0" xfId="34039" applyFont="1"/>
    <xf numFmtId="3" fontId="22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51" fillId="0" borderId="0" xfId="0" applyFont="1"/>
    <xf numFmtId="10" fontId="56" fillId="13" borderId="30" xfId="96" applyNumberFormat="1" applyFont="1" applyFill="1" applyBorder="1" applyAlignment="1">
      <alignment horizontal="center" vertical="center"/>
    </xf>
    <xf numFmtId="10" fontId="56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6" fillId="13" borderId="30" xfId="0" applyFont="1" applyFill="1" applyBorder="1" applyAlignment="1">
      <alignment horizontal="left" vertical="top"/>
    </xf>
    <xf numFmtId="0" fontId="25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50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50" fillId="5" borderId="1" xfId="0" applyNumberFormat="1" applyFont="1" applyFill="1" applyBorder="1" applyAlignment="1">
      <alignment horizontal="center"/>
    </xf>
    <xf numFmtId="2" fontId="50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8" fillId="8" borderId="1" xfId="0" applyNumberFormat="1" applyFont="1" applyFill="1" applyBorder="1" applyAlignment="1">
      <alignment horizontal="center"/>
    </xf>
    <xf numFmtId="0" fontId="27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5" fillId="13" borderId="30" xfId="96" applyNumberFormat="1" applyFont="1" applyFill="1" applyBorder="1" applyAlignment="1">
      <alignment horizontal="center" vertical="center"/>
    </xf>
    <xf numFmtId="2" fontId="56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7" fillId="0" borderId="39" xfId="96" applyNumberFormat="1" applyFont="1" applyFill="1" applyBorder="1" applyAlignment="1">
      <alignment horizontal="center" vertical="center"/>
    </xf>
    <xf numFmtId="10" fontId="27" fillId="0" borderId="40" xfId="96" applyNumberFormat="1" applyFont="1" applyFill="1" applyBorder="1" applyAlignment="1">
      <alignment horizontal="center" vertical="center"/>
    </xf>
    <xf numFmtId="10" fontId="27" fillId="0" borderId="41" xfId="96" applyNumberFormat="1" applyFont="1" applyFill="1" applyBorder="1" applyAlignment="1">
      <alignment horizontal="center" vertical="center"/>
    </xf>
    <xf numFmtId="168" fontId="24" fillId="0" borderId="38" xfId="23226" applyNumberFormat="1" applyFont="1" applyBorder="1" applyAlignment="1">
      <alignment horizontal="center" vertical="center" wrapText="1"/>
    </xf>
    <xf numFmtId="0" fontId="24" fillId="0" borderId="38" xfId="23226" applyFont="1" applyBorder="1" applyAlignment="1">
      <alignment horizontal="center" vertical="center" wrapText="1"/>
    </xf>
    <xf numFmtId="0" fontId="27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50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4" fillId="14" borderId="28" xfId="0" applyFont="1" applyFill="1" applyBorder="1" applyAlignment="1" applyProtection="1">
      <alignment horizontal="center" vertical="center" wrapText="1"/>
      <protection locked="0"/>
    </xf>
    <xf numFmtId="0" fontId="56" fillId="13" borderId="31" xfId="0" applyFont="1" applyFill="1" applyBorder="1" applyAlignment="1" applyProtection="1">
      <alignment vertical="top"/>
      <protection locked="0"/>
    </xf>
    <xf numFmtId="0" fontId="56" fillId="13" borderId="31" xfId="0" applyFont="1" applyFill="1" applyBorder="1" applyProtection="1">
      <protection locked="0"/>
    </xf>
    <xf numFmtId="1" fontId="56" fillId="13" borderId="31" xfId="0" applyNumberFormat="1" applyFont="1" applyFill="1" applyBorder="1" applyProtection="1">
      <protection locked="0"/>
    </xf>
    <xf numFmtId="0" fontId="56" fillId="13" borderId="31" xfId="0" applyFont="1" applyFill="1" applyBorder="1" applyAlignment="1" applyProtection="1">
      <alignment wrapText="1"/>
      <protection locked="0"/>
    </xf>
    <xf numFmtId="0" fontId="56" fillId="0" borderId="31" xfId="0" applyFont="1" applyBorder="1" applyAlignment="1" applyProtection="1">
      <alignment wrapText="1"/>
      <protection locked="0"/>
    </xf>
    <xf numFmtId="0" fontId="56" fillId="0" borderId="31" xfId="0" applyFont="1" applyBorder="1" applyProtection="1">
      <protection locked="0"/>
    </xf>
    <xf numFmtId="0" fontId="56" fillId="13" borderId="37" xfId="0" applyFont="1" applyFill="1" applyBorder="1" applyProtection="1">
      <protection locked="0"/>
    </xf>
    <xf numFmtId="0" fontId="60" fillId="5" borderId="8" xfId="0" applyFont="1" applyFill="1" applyBorder="1" applyAlignment="1">
      <alignment horizontal="center"/>
    </xf>
    <xf numFmtId="2" fontId="60" fillId="5" borderId="8" xfId="0" applyNumberFormat="1" applyFont="1" applyFill="1" applyBorder="1" applyAlignment="1">
      <alignment horizontal="center"/>
    </xf>
    <xf numFmtId="15" fontId="60" fillId="5" borderId="8" xfId="0" applyNumberFormat="1" applyFont="1" applyFill="1" applyBorder="1"/>
    <xf numFmtId="0" fontId="60" fillId="5" borderId="1" xfId="0" applyFont="1" applyFill="1" applyBorder="1" applyAlignment="1">
      <alignment horizontal="center"/>
    </xf>
    <xf numFmtId="164" fontId="61" fillId="0" borderId="1" xfId="96" applyNumberFormat="1" applyFont="1" applyBorder="1" applyAlignment="1">
      <alignment horizontal="center"/>
    </xf>
    <xf numFmtId="164" fontId="61" fillId="0" borderId="6" xfId="96" applyNumberFormat="1" applyFont="1" applyBorder="1" applyAlignment="1">
      <alignment horizontal="center"/>
    </xf>
    <xf numFmtId="17" fontId="50" fillId="5" borderId="8" xfId="0" applyNumberFormat="1" applyFont="1" applyFill="1" applyBorder="1" applyAlignment="1">
      <alignment horizontal="center"/>
    </xf>
    <xf numFmtId="17" fontId="50" fillId="5" borderId="25" xfId="0" applyNumberFormat="1" applyFont="1" applyFill="1" applyBorder="1" applyAlignment="1">
      <alignment horizontal="center"/>
    </xf>
    <xf numFmtId="15" fontId="50" fillId="5" borderId="25" xfId="0" applyNumberFormat="1" applyFont="1" applyFill="1" applyBorder="1"/>
    <xf numFmtId="2" fontId="50" fillId="5" borderId="25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right"/>
    </xf>
    <xf numFmtId="0" fontId="21" fillId="5" borderId="25" xfId="0" applyFont="1" applyFill="1" applyBorder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/>
    </xf>
    <xf numFmtId="0" fontId="19" fillId="0" borderId="0" xfId="0" applyFont="1"/>
    <xf numFmtId="0" fontId="18" fillId="0" borderId="0" xfId="0" applyFont="1"/>
    <xf numFmtId="0" fontId="17" fillId="0" borderId="0" xfId="0" applyFont="1"/>
    <xf numFmtId="0" fontId="62" fillId="5" borderId="8" xfId="0" applyFont="1" applyFill="1" applyBorder="1" applyAlignment="1">
      <alignment horizontal="center"/>
    </xf>
    <xf numFmtId="2" fontId="62" fillId="5" borderId="8" xfId="0" applyNumberFormat="1" applyFont="1" applyFill="1" applyBorder="1" applyAlignment="1">
      <alignment horizontal="center"/>
    </xf>
    <xf numFmtId="0" fontId="62" fillId="5" borderId="1" xfId="0" applyFont="1" applyFill="1" applyBorder="1" applyAlignment="1">
      <alignment horizontal="center"/>
    </xf>
    <xf numFmtId="15" fontId="62" fillId="5" borderId="1" xfId="0" applyNumberFormat="1" applyFont="1" applyFill="1" applyBorder="1"/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4" fillId="0" borderId="0" xfId="0" applyFont="1"/>
    <xf numFmtId="164" fontId="63" fillId="0" borderId="1" xfId="96" applyNumberFormat="1" applyFont="1" applyBorder="1" applyAlignment="1">
      <alignment horizontal="center"/>
    </xf>
    <xf numFmtId="164" fontId="63" fillId="0" borderId="6" xfId="96" applyNumberFormat="1" applyFont="1" applyBorder="1" applyAlignment="1">
      <alignment horizontal="center"/>
    </xf>
    <xf numFmtId="0" fontId="62" fillId="5" borderId="10" xfId="0" applyFont="1" applyFill="1" applyBorder="1" applyAlignment="1">
      <alignment horizontal="center"/>
    </xf>
    <xf numFmtId="15" fontId="62" fillId="5" borderId="10" xfId="0" applyNumberFormat="1" applyFont="1" applyFill="1" applyBorder="1"/>
    <xf numFmtId="0" fontId="18" fillId="0" borderId="0" xfId="0" applyFont="1" applyAlignment="1">
      <alignment horizontal="left"/>
    </xf>
    <xf numFmtId="0" fontId="13" fillId="0" borderId="0" xfId="0" applyFont="1"/>
    <xf numFmtId="0" fontId="17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1" fillId="0" borderId="0" xfId="0" applyFont="1"/>
    <xf numFmtId="0" fontId="11" fillId="0" borderId="0" xfId="0" applyFont="1" applyAlignment="1">
      <alignment horizontal="left"/>
    </xf>
    <xf numFmtId="0" fontId="10" fillId="0" borderId="0" xfId="0" applyFont="1"/>
    <xf numFmtId="0" fontId="10" fillId="0" borderId="0" xfId="0" applyFont="1" applyAlignment="1">
      <alignment horizontal="left"/>
    </xf>
    <xf numFmtId="0" fontId="64" fillId="5" borderId="1" xfId="0" applyFont="1" applyFill="1" applyBorder="1" applyAlignment="1">
      <alignment horizontal="center"/>
    </xf>
    <xf numFmtId="164" fontId="65" fillId="0" borderId="1" xfId="96" applyNumberFormat="1" applyFont="1" applyBorder="1" applyAlignment="1">
      <alignment horizontal="center"/>
    </xf>
    <xf numFmtId="164" fontId="65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9" fillId="0" borderId="0" xfId="0" applyFont="1"/>
    <xf numFmtId="164" fontId="50" fillId="0" borderId="1" xfId="96" applyNumberFormat="1" applyFont="1" applyBorder="1" applyAlignment="1">
      <alignment horizontal="center"/>
    </xf>
    <xf numFmtId="0" fontId="8" fillId="0" borderId="0" xfId="0" applyFont="1"/>
    <xf numFmtId="0" fontId="51" fillId="0" borderId="0" xfId="0" applyFont="1" applyAlignment="1">
      <alignment horizontal="left"/>
    </xf>
    <xf numFmtId="0" fontId="7" fillId="40" borderId="25" xfId="0" applyFont="1" applyFill="1" applyBorder="1" applyAlignment="1">
      <alignment horizontal="center" vertical="center"/>
    </xf>
    <xf numFmtId="0" fontId="7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 wrapText="1"/>
    </xf>
    <xf numFmtId="0" fontId="40" fillId="0" borderId="0" xfId="0" applyFont="1"/>
    <xf numFmtId="0" fontId="5" fillId="0" borderId="0" xfId="0" applyFont="1"/>
    <xf numFmtId="0" fontId="4" fillId="0" borderId="0" xfId="0" applyFont="1"/>
    <xf numFmtId="0" fontId="66" fillId="5" borderId="1" xfId="0" applyFont="1" applyFill="1" applyBorder="1" applyAlignment="1">
      <alignment horizontal="center"/>
    </xf>
    <xf numFmtId="17" fontId="66" fillId="5" borderId="1" xfId="0" applyNumberFormat="1" applyFont="1" applyFill="1" applyBorder="1"/>
    <xf numFmtId="164" fontId="67" fillId="0" borderId="1" xfId="96" applyNumberFormat="1" applyFont="1" applyBorder="1" applyAlignment="1">
      <alignment horizontal="center"/>
    </xf>
    <xf numFmtId="164" fontId="67" fillId="0" borderId="6" xfId="96" applyNumberFormat="1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168" fontId="55" fillId="13" borderId="33" xfId="14686" applyNumberFormat="1" applyFont="1" applyFill="1" applyBorder="1" applyAlignment="1">
      <alignment horizontal="left" vertical="center"/>
    </xf>
    <xf numFmtId="168" fontId="55" fillId="13" borderId="34" xfId="14686" applyNumberFormat="1" applyFont="1" applyFill="1" applyBorder="1" applyAlignment="1">
      <alignment horizontal="left" vertical="center"/>
    </xf>
    <xf numFmtId="168" fontId="55" fillId="13" borderId="35" xfId="14686" applyNumberFormat="1" applyFont="1" applyFill="1" applyBorder="1" applyAlignment="1">
      <alignment horizontal="left" vertical="center"/>
    </xf>
    <xf numFmtId="0" fontId="53" fillId="14" borderId="26" xfId="0" applyFont="1" applyFill="1" applyBorder="1" applyAlignment="1">
      <alignment horizontal="center"/>
    </xf>
    <xf numFmtId="0" fontId="53" fillId="14" borderId="27" xfId="0" applyFont="1" applyFill="1" applyBorder="1" applyAlignment="1">
      <alignment horizontal="center"/>
    </xf>
    <xf numFmtId="0" fontId="53" fillId="14" borderId="28" xfId="0" applyFont="1" applyFill="1" applyBorder="1" applyAlignment="1">
      <alignment horizontal="center"/>
    </xf>
    <xf numFmtId="167" fontId="55" fillId="13" borderId="30" xfId="14686" applyNumberFormat="1" applyFont="1" applyFill="1" applyBorder="1" applyAlignment="1" applyProtection="1">
      <alignment horizontal="left" vertical="center"/>
      <protection locked="0"/>
    </xf>
    <xf numFmtId="167" fontId="55" fillId="13" borderId="31" xfId="14686" applyNumberFormat="1" applyFont="1" applyFill="1" applyBorder="1" applyAlignment="1" applyProtection="1">
      <alignment horizontal="left" vertical="center"/>
      <protection locked="0"/>
    </xf>
    <xf numFmtId="168" fontId="55" fillId="13" borderId="30" xfId="14686" applyNumberFormat="1" applyFont="1" applyFill="1" applyBorder="1" applyAlignment="1" applyProtection="1">
      <alignment horizontal="left" vertical="center"/>
      <protection locked="0"/>
    </xf>
    <xf numFmtId="168" fontId="55" fillId="13" borderId="31" xfId="14686" applyNumberFormat="1" applyFont="1" applyFill="1" applyBorder="1" applyAlignment="1" applyProtection="1">
      <alignment horizontal="left" vertical="center"/>
      <protection locked="0"/>
    </xf>
    <xf numFmtId="0" fontId="56" fillId="13" borderId="30" xfId="0" applyFont="1" applyFill="1" applyBorder="1" applyAlignment="1">
      <alignment horizontal="left"/>
    </xf>
    <xf numFmtId="0" fontId="56" fillId="13" borderId="31" xfId="0" applyFont="1" applyFill="1" applyBorder="1" applyAlignment="1">
      <alignment horizontal="left"/>
    </xf>
    <xf numFmtId="168" fontId="55" fillId="13" borderId="30" xfId="14686" applyNumberFormat="1" applyFont="1" applyFill="1" applyBorder="1" applyAlignment="1">
      <alignment horizontal="left" vertical="center"/>
    </xf>
    <xf numFmtId="168" fontId="55" fillId="13" borderId="31" xfId="14686" applyNumberFormat="1" applyFont="1" applyFill="1" applyBorder="1" applyAlignment="1">
      <alignment horizontal="left" vertical="center"/>
    </xf>
    <xf numFmtId="0" fontId="26" fillId="7" borderId="1" xfId="0" applyFont="1" applyFill="1" applyBorder="1" applyAlignment="1">
      <alignment horizontal="center" vertic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 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>
      <calculatedColumnFormula>T2/(24*N2)</calculatedColumnFormula>
    </tableColumn>
    <tableColumn id="37" xr3:uid="{C8218568-E608-4704-B8EB-3CE2B0E63E03}" name="Bugt CUF (%) MTD" dataDxfId="282">
      <calculatedColumnFormula>IFERROR(U2/(24*N2*Q2),"")</calculatedColumnFormula>
    </tableColumn>
    <tableColumn id="36" xr3:uid="{293B680A-29C3-4B2B-A234-00FC36D9C60E}" name="Bugt CUF (%)YTD" dataDxfId="281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/>
    <tableColumn id="25" xr3:uid="{6C8EC636-075E-4C38-922E-1EE0D0C4C7DF}" name="Bugt EGA" dataDxfId="275"/>
    <tableColumn id="35" xr3:uid="{BB31BF3C-98CF-46F4-B0EA-6150C6EE761F}" name="Bugt TA" dataDxfId="274"/>
    <tableColumn id="26" xr3:uid="{E82FCE46-08EF-4A12-B8FF-68D69B97B6F0}" name="Bugt MA" dataDxfId="273"/>
    <tableColumn id="30" xr3:uid="{B9462841-21F9-411E-8582-40A1737CB651}" name="Bugt IGA" dataDxfId="272"/>
    <tableColumn id="32" xr3:uid="{55F5BF99-03B6-44E4-86F1-0F0B59A69120}" name="Corelation" dataDxfId="271"/>
    <tableColumn id="33" xr3:uid="{D71EDA12-0F1C-4671-84F9-9353E4CBDB4D}" name="Bugt Line loss" dataDxfId="270"/>
    <tableColumn id="34" xr3:uid="{48B318D9-D8B7-44AD-BB34-9D850A6B67F0}" name="Bugt Reactive Power" dataDxfId="269"/>
    <tableColumn id="31" xr3:uid="{836E8AB5-5AB8-47EA-8C4A-31E55EDE09AE}" name="Bugt Capacity" dataDxfId="268"/>
    <tableColumn id="39" xr3:uid="{975C0F3C-55FC-422A-98FF-67A42CF018D4}" name="CC*Bugt" dataDxfId="267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/>
    <tableColumn id="9" xr3:uid="{9CF74BFE-F028-40BD-8723-837648011BA2}" name="POA-UP(KWh/m2)" dataDxfId="245" totalsRowDxfId="244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/>
    <tableColumn id="11" xr3:uid="{D01F2C3A-D029-4284-B462-498A82B6AF53}" name="Amb_Temp(°C)" dataDxfId="241" totalsRowDxfId="240">
      <calculatedColumnFormula>IFERROR(_xlfn.XLOOKUP($A2,'Raw Data'!$G:$G,'Raw Data'!W:W),"")</calculatedColumnFormula>
    </tableColumn>
    <tableColumn id="12" xr3:uid="{B8B964F0-21A3-419F-80E0-858F3A6FDDDA}" name="Mod_Temp(°C)" dataDxfId="239" totalsRowDxfId="238">
      <calculatedColumnFormula>IFERROR(_xlfn.XLOOKUP($A2,'Raw Data'!$G:$G,'Raw Data'!X:X),"")</calculatedColumnFormula>
    </tableColumn>
    <tableColumn id="13" xr3:uid="{C86907D5-3718-4C45-A6EF-CFE61922E917}" name="WS_Avg(m/s)" dataDxfId="237" totalsRowDxfId="236">
      <calculatedColumnFormula>IFERROR(_xlfn.XLOOKUP($A2,'Raw Data'!$G:$G,'Raw Data'!Y:Y),"")</calculatedColumnFormula>
    </tableColumn>
    <tableColumn id="14" xr3:uid="{9156C628-C602-42E0-901F-E94719A18723}" name="WS_Max(m/s)" dataDxfId="235" totalsRowDxfId="234">
      <calculatedColumnFormula>IFERROR(_xlfn.XLOOKUP($A2,'Raw Data'!$G:$G,'Raw Data'!Z:Z),"")</calculatedColumnFormula>
    </tableColumn>
    <tableColumn id="15" xr3:uid="{77799DFF-861A-420F-803B-0DA89C346D67}" name="PA(%)" dataDxfId="233" totalsRowDxfId="232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/>
    <tableColumn id="17" xr3:uid="{0A470E74-7518-44C3-A94E-75C23C701894}" name="IGA (%)" dataDxfId="229"/>
    <tableColumn id="18" xr3:uid="{37093BBE-6B5B-42CC-ADC3-2D9CAE6F7DB7}" name="EGA(%)" dataDxfId="228" totalsRowDxfId="227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>
      <calculatedColumnFormula>IFERROR(1-SUMIF(Tracker_BD!H:H,$A2,Tracker_BD!AI:AI)/$F2,"")</calculatedColumnFormula>
    </tableColumn>
    <tableColumn id="21" xr3:uid="{9B2AB745-B571-4BFF-9942-5CFE04DD7B06}" name="PR(%)" dataDxfId="222" totalsRowDxfId="221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>
      <calculatedColumnFormula>IFERROR(AD2/AC2/AB2/1000,"")</calculatedColumnFormula>
    </tableColumn>
    <tableColumn id="42" xr3:uid="{1172D2D7-CC4A-4D71-B024-C8883FB9CB5E}" name="Bugt CUF" dataDxfId="200" totalsRowDxfId="199">
      <calculatedColumnFormula>IFERROR(_xlfn.XLOOKUP($D2,'Modelling New'!$D:$D,'Modelling New'!W:W),"")</calculatedColumnFormula>
    </tableColumn>
    <tableColumn id="31" xr3:uid="{C00E5B4E-EAAB-416E-9FC1-91EB40DD4F1E}" name="Bugt_PA" dataDxfId="198" totalsRowDxfId="197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/>
    <tableColumn id="39" xr3:uid="{3D128F10-6261-46F8-A13F-B7A0DEA08E2E}" name="Reactive Power (%)" dataDxfId="182" totalsRowDxfId="181"/>
    <tableColumn id="40" xr3:uid="{223B99FB-CA8F-4264-86EE-1D5C9F575461}" name="Bugt Line loss (%) (Wind)" dataDxfId="180" totalsRowDxfId="179"/>
    <tableColumn id="41" xr3:uid="{3F16F312-DDB7-495C-81B7-179FBEA33785}" name="Bugt Reactive Power (%) (Wind)" dataDxfId="178" totalsRowDxfId="177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10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208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>
      <calculatedColumnFormula>IFERROR(Inv_SY!J3/Inv_SY!$P3-1,"")</calculatedColumnFormula>
    </tableColumn>
    <tableColumn id="11" xr3:uid="{00000000-0010-0000-0500-00000B000000}" name="IC1_Inv2 wrt Avg." dataDxfId="108">
      <calculatedColumnFormula>IFERROR(Inv_SY!K3/Inv_SY!$P3-1,"")</calculatedColumnFormula>
    </tableColumn>
    <tableColumn id="12" xr3:uid="{00000000-0010-0000-0500-00000C000000}" name="IC1_Inv3 wrt Avg." dataDxfId="107">
      <calculatedColumnFormula>IFERROR(Inv_SY!L3/Inv_SY!$P3-1,"")</calculatedColumnFormula>
    </tableColumn>
    <tableColumn id="13" xr3:uid="{00000000-0010-0000-0500-00000D000000}" name="IC1_Inv4 wrt Avg." dataDxfId="106">
      <calculatedColumnFormula>IFERROR(Inv_SY!M3/Inv_SY!$P3-1,"")</calculatedColumnFormula>
    </tableColumn>
    <tableColumn id="14" xr3:uid="{00000000-0010-0000-0500-00000E000000}" name="IC2_Inv1 wrt Avg." dataDxfId="105">
      <calculatedColumnFormula>IFERROR(Inv_SY!N3/Inv_SY!$P3-1,"")</calculatedColumnFormula>
    </tableColumn>
    <tableColumn id="15" xr3:uid="{00000000-0010-0000-0500-00000F000000}" name="IC2_Inv2 wrt Avg." dataDxfId="104">
      <calculatedColumnFormula>IFERROR(Inv_SY!O3/Inv_SY!$P3-1,"")</calculatedColumnFormula>
    </tableColumn>
    <tableColumn id="16" xr3:uid="{00000000-0010-0000-0500-000010000000}" name="IC1_Inv1 wrt Max." dataDxfId="103">
      <calculatedColumnFormula>IFERROR(Inv_SY!J3/Inv_SY!$Q3-1,"")</calculatedColumnFormula>
    </tableColumn>
    <tableColumn id="17" xr3:uid="{00000000-0010-0000-0500-000011000000}" name="IC1_Inv2 wrt Max." dataDxfId="102">
      <calculatedColumnFormula>IFERROR(Inv_SY!K3/Inv_SY!$Q3-1,"")</calculatedColumnFormula>
    </tableColumn>
    <tableColumn id="18" xr3:uid="{00000000-0010-0000-0500-000012000000}" name="IC1_Inv3 wrt Max." dataDxfId="101">
      <calculatedColumnFormula>IFERROR(Inv_SY!L3/Inv_SY!$Q3-1,"")</calculatedColumnFormula>
    </tableColumn>
    <tableColumn id="19" xr3:uid="{00000000-0010-0000-0500-000013000000}" name="IC1_Inv4 wrt Max." dataDxfId="100">
      <calculatedColumnFormula>IFERROR(Inv_SY!M3/Inv_SY!$Q3-1,"")</calculatedColumnFormula>
    </tableColumn>
    <tableColumn id="20" xr3:uid="{00000000-0010-0000-0500-000014000000}" name="IC2_Inv1 wrt Max." dataDxfId="99">
      <calculatedColumnFormula>IFERROR(Inv_SY!N3/Inv_SY!$Q3-1,"")</calculatedColumnFormula>
    </tableColumn>
    <tableColumn id="21" xr3:uid="{00000000-0010-0000-0500-000015000000}" name="IC2_Inv2 wrt Max." dataDxfId="98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5" totalsRowShown="0">
  <autoFilter ref="A3:AL115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(GA[[#This Row],[Work Completiuon time on fualt]]-GA[[#This Row],[Fault Time]])*24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202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2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6" totalsRowShown="0">
  <autoFilter ref="A1:M1626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opLeftCell="A14" zoomScale="96" zoomScaleNormal="96" workbookViewId="0">
      <selection activeCell="H19" sqref="H19"/>
    </sheetView>
  </sheetViews>
  <sheetFormatPr defaultColWidth="8.5546875" defaultRowHeight="14.4"/>
  <cols>
    <col min="1" max="1" width="14.44140625" style="94" customWidth="1"/>
    <col min="2" max="2" width="17.5546875" style="94" customWidth="1"/>
    <col min="3" max="5" width="13.88671875" style="94" customWidth="1"/>
    <col min="6" max="6" width="29.109375" style="94" customWidth="1"/>
    <col min="7" max="16384" width="8.5546875" style="94"/>
  </cols>
  <sheetData>
    <row r="1" spans="1:6" ht="15" customHeight="1" thickBot="1">
      <c r="A1" s="268" t="s">
        <v>0</v>
      </c>
      <c r="B1" s="269"/>
      <c r="C1" s="269"/>
      <c r="D1" s="269"/>
      <c r="E1" s="269"/>
      <c r="F1" s="270"/>
    </row>
    <row r="2" spans="1:6" ht="15.6" thickTop="1" thickBot="1">
      <c r="A2" s="115" t="s">
        <v>1</v>
      </c>
      <c r="B2" s="271">
        <v>45839</v>
      </c>
      <c r="C2" s="271"/>
      <c r="D2" s="271"/>
      <c r="E2" s="271"/>
      <c r="F2" s="272"/>
    </row>
    <row r="3" spans="1:6" ht="15.6" thickTop="1" thickBot="1">
      <c r="A3" s="115" t="s">
        <v>2</v>
      </c>
      <c r="B3" s="273">
        <v>45851</v>
      </c>
      <c r="C3" s="273"/>
      <c r="D3" s="273"/>
      <c r="E3" s="273"/>
      <c r="F3" s="274"/>
    </row>
    <row r="4" spans="1:6" ht="15.6" thickTop="1" thickBot="1">
      <c r="A4" s="115" t="s">
        <v>3</v>
      </c>
      <c r="B4" s="275" t="s">
        <v>4</v>
      </c>
      <c r="C4" s="275"/>
      <c r="D4" s="275"/>
      <c r="E4" s="275"/>
      <c r="F4" s="276"/>
    </row>
    <row r="5" spans="1:6" ht="15.6" thickTop="1" thickBot="1">
      <c r="A5" s="115" t="s">
        <v>5</v>
      </c>
      <c r="B5" s="277">
        <v>45748</v>
      </c>
      <c r="C5" s="277"/>
      <c r="D5" s="277"/>
      <c r="E5" s="277"/>
      <c r="F5" s="278"/>
    </row>
    <row r="6" spans="1:6" ht="15.6" thickTop="1" thickBot="1">
      <c r="A6" s="116" t="s">
        <v>6</v>
      </c>
      <c r="B6" s="265">
        <v>46112</v>
      </c>
      <c r="C6" s="266"/>
      <c r="D6" s="266"/>
      <c r="E6" s="266"/>
      <c r="F6" s="267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5.6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34.233399999999079</v>
      </c>
      <c r="E9" s="123">
        <f>-(C9-D9)/C9</f>
        <v>8.9363863885306261E-2</v>
      </c>
      <c r="F9" s="193"/>
    </row>
    <row r="10" spans="1:6" ht="15.6" thickTop="1" thickBot="1">
      <c r="A10" s="119"/>
      <c r="B10" s="120" t="s">
        <v>14</v>
      </c>
      <c r="C10" s="121">
        <f>_xlfn.XLOOKUP($B$2,'Modelling New'!$D:$D,'Modelling New'!U:U)</f>
        <v>408.52667759029271</v>
      </c>
      <c r="D10" s="124">
        <f>'Monthly KPI'!$F$4</f>
        <v>425.67054000000633</v>
      </c>
      <c r="E10" s="123">
        <f t="shared" ref="E10:E26" si="0">-(C10-D10)/C10</f>
        <v>4.196509885434465E-2</v>
      </c>
      <c r="F10" s="194"/>
    </row>
    <row r="11" spans="1:6" ht="15.6" thickTop="1" thickBot="1">
      <c r="A11" s="119"/>
      <c r="B11" s="120" t="s">
        <v>15</v>
      </c>
      <c r="C11" s="121">
        <f>_xlfn.XLOOKUP($B$2,'Modelling New'!$D:$D,'Modelling New'!V:V)</f>
        <v>4689.5239310450725</v>
      </c>
      <c r="D11" s="125">
        <f>'Annual KPI'!$F$4</f>
        <v>4367.0915200000009</v>
      </c>
      <c r="E11" s="123">
        <f t="shared" si="0"/>
        <v>-6.8755894156022943E-2</v>
      </c>
      <c r="F11" s="194"/>
    </row>
    <row r="12" spans="1:6" ht="15.6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0.13575632118269992</v>
      </c>
      <c r="E12" s="123">
        <f t="shared" si="0"/>
        <v>8.9363863885306163E-2</v>
      </c>
      <c r="F12" s="195"/>
    </row>
    <row r="13" spans="1:6" ht="15.6" thickTop="1" thickBot="1">
      <c r="A13" s="119"/>
      <c r="B13" s="120" t="s">
        <v>17</v>
      </c>
      <c r="C13" s="126">
        <f>_xlfn.XLOOKUP($B$2,'Modelling New'!$D:$D,'Modelling New'!X:X)</f>
        <v>0.12461981316188862</v>
      </c>
      <c r="D13" s="127">
        <f>'Monthly KPI'!J4</f>
        <v>0.12984949594043727</v>
      </c>
      <c r="E13" s="123">
        <f t="shared" si="0"/>
        <v>4.1965098854344851E-2</v>
      </c>
      <c r="F13" s="194"/>
    </row>
    <row r="14" spans="1:6" ht="15.6" thickTop="1" thickBot="1">
      <c r="A14" s="119"/>
      <c r="B14" s="120" t="s">
        <v>18</v>
      </c>
      <c r="C14" s="126">
        <f>_xlfn.XLOOKUP($B$2,'Modelling New'!$D:$D,'Modelling New'!Y:Y)</f>
        <v>0.17881561601808624</v>
      </c>
      <c r="D14" s="127">
        <f>'Annual KPI'!J4</f>
        <v>0.16652098844970267</v>
      </c>
      <c r="E14" s="123">
        <f t="shared" si="0"/>
        <v>-6.8755894156022873E-2</v>
      </c>
      <c r="F14" s="194"/>
    </row>
    <row r="15" spans="1:6" s="143" customFormat="1" ht="15.6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0.73630547082142339</v>
      </c>
      <c r="E15" s="142">
        <f t="shared" si="0"/>
        <v>5.1069028531381226E-2</v>
      </c>
      <c r="F15" s="196"/>
    </row>
    <row r="16" spans="1:6" ht="15.6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0.73901938587041993</v>
      </c>
      <c r="E16" s="123">
        <f t="shared" si="0"/>
        <v>5.4943116348334729E-2</v>
      </c>
      <c r="F16" s="194"/>
    </row>
    <row r="17" spans="1:6" ht="15.6" thickTop="1" thickBot="1">
      <c r="A17" s="119"/>
      <c r="B17" s="120" t="s">
        <v>21</v>
      </c>
      <c r="C17" s="126">
        <f>'Annual KPI'!$G$4</f>
        <v>0.6805247986365035</v>
      </c>
      <c r="D17" s="127">
        <f>'Annual KPI'!$H$4</f>
        <v>0.71233858686257878</v>
      </c>
      <c r="E17" s="123">
        <f t="shared" si="0"/>
        <v>4.6748903625286317E-2</v>
      </c>
      <c r="F17" s="194"/>
    </row>
    <row r="18" spans="1:6" ht="15.6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4.4249999999999998</v>
      </c>
      <c r="E18" s="123">
        <f t="shared" si="0"/>
        <v>3.6434177313199645E-2</v>
      </c>
      <c r="F18" s="194"/>
    </row>
    <row r="19" spans="1:6" ht="15.6" thickTop="1" thickBot="1">
      <c r="A19" s="119"/>
      <c r="B19" s="120" t="s">
        <v>23</v>
      </c>
      <c r="C19" s="179">
        <f>_xlfn.XLOOKUP($B$2,'Modelling New'!$D:$D,'Modelling New'!R:R)</f>
        <v>55.502801103225814</v>
      </c>
      <c r="D19" s="180">
        <f>'Monthly KPI'!$D$4</f>
        <v>54.82</v>
      </c>
      <c r="E19" s="123">
        <f t="shared" si="0"/>
        <v>-1.2302101689533088E-2</v>
      </c>
      <c r="F19" s="196"/>
    </row>
    <row r="20" spans="1:6" ht="15.6" thickTop="1" thickBot="1">
      <c r="A20" s="119"/>
      <c r="B20" s="120" t="s">
        <v>24</v>
      </c>
      <c r="C20" s="179">
        <f>_xlfn.XLOOKUP($B$2,'Modelling New'!$D:$D,'Modelling New'!S:S)</f>
        <v>655.85233407422572</v>
      </c>
      <c r="D20" s="180">
        <f>'Annual KPI'!$D$4</f>
        <v>583.48150000000021</v>
      </c>
      <c r="E20" s="123">
        <f t="shared" si="0"/>
        <v>-0.11034623239754299</v>
      </c>
      <c r="F20" s="197"/>
    </row>
    <row r="21" spans="1:6" ht="15.6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5.6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0.99318857662289717</v>
      </c>
      <c r="E22" s="123">
        <f t="shared" si="0"/>
        <v>-1.8205260071385203E-3</v>
      </c>
      <c r="F22" s="196"/>
    </row>
    <row r="23" spans="1:6" ht="15.6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0.99316167609551431</v>
      </c>
      <c r="E23" s="123">
        <f t="shared" si="0"/>
        <v>-1.8475617130509383E-3</v>
      </c>
      <c r="F23" s="196"/>
    </row>
    <row r="24" spans="1:6" ht="15.6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5.6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5.6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0.99047632656069251</v>
      </c>
      <c r="E26" s="123">
        <f t="shared" si="0"/>
        <v>-6.5433033493555535E-3</v>
      </c>
      <c r="F26" s="194"/>
    </row>
    <row r="27" spans="1:6" ht="15.6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5.6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5.6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546875" defaultRowHeight="14.4"/>
  <cols>
    <col min="1" max="1" width="8.5546875" style="17"/>
    <col min="2" max="2" width="13.88671875" style="17" customWidth="1"/>
    <col min="3" max="3" width="15.88671875" style="17" customWidth="1"/>
    <col min="4" max="6" width="8.5546875" style="17"/>
    <col min="7" max="7" width="20.44140625" style="17" customWidth="1"/>
    <col min="8" max="8" width="8.5546875" style="17"/>
    <col min="9" max="9" width="9.44140625" style="17" bestFit="1" customWidth="1"/>
    <col min="10" max="13" width="8.5546875" style="17"/>
    <col min="14" max="14" width="14.5546875" style="17" customWidth="1"/>
    <col min="15" max="15" width="9.88671875" style="17" bestFit="1" customWidth="1"/>
    <col min="16" max="16" width="11" style="17" customWidth="1"/>
    <col min="17" max="17" width="15.44140625" style="17" customWidth="1"/>
    <col min="18" max="19" width="10.88671875" style="17" customWidth="1"/>
    <col min="20" max="20" width="13" style="17" customWidth="1"/>
    <col min="21" max="25" width="12.88671875" style="17" customWidth="1"/>
    <col min="26" max="27" width="14.44140625" style="17" customWidth="1"/>
    <col min="28" max="28" width="15.44140625" style="17" customWidth="1"/>
    <col min="29" max="37" width="9.88671875" style="17" customWidth="1"/>
    <col min="38" max="38" width="8.44140625" style="17" customWidth="1"/>
    <col min="39" max="39" width="7.88671875" style="17" customWidth="1"/>
    <col min="40" max="40" width="12" style="17" customWidth="1"/>
    <col min="41" max="41" width="27.44140625" style="17" bestFit="1" customWidth="1"/>
    <col min="42" max="16384" width="8.5546875" style="17"/>
  </cols>
  <sheetData>
    <row r="1" spans="1:50" ht="43.2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655.85233407422572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4689.5239310450725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0.30486596829313067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13</v>
      </c>
      <c r="R41" s="45">
        <f t="shared" si="27"/>
        <v>55.502801103225814</v>
      </c>
      <c r="S41" s="45">
        <f>SUMIF($F$2:F41,F41,$R$2:R41)</f>
        <v>655.85233407422572</v>
      </c>
      <c r="T41" s="26">
        <f t="shared" si="28"/>
        <v>31.425129045407132</v>
      </c>
      <c r="U41" s="45">
        <f t="shared" si="29"/>
        <v>408.52667759029271</v>
      </c>
      <c r="V41" s="45">
        <f>SUMIF($F$2:F41,F41,$U$2:U41)</f>
        <v>4689.5239310450725</v>
      </c>
      <c r="W41" s="176">
        <f t="shared" si="30"/>
        <v>0.12461981316188862</v>
      </c>
      <c r="X41" s="176">
        <f t="shared" si="5"/>
        <v>0.12461981316188862</v>
      </c>
      <c r="Y41" s="176">
        <f t="shared" si="6"/>
        <v>0.17881561601808624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655.85233407422572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4689.5239310450725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0.17881561601808624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655.85233407422572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4689.5239310450725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0.17881561601808624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655.85233407422572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4689.5239310450725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0.17881561601808624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655.85233407422572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4689.5239310450725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0.17881561601808624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655.85233407422572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4689.5239310450725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0.17881561601808624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655.85233407422572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4689.5239310450725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0.17881561601808624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655.85233407422572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4689.5239310450725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0.17881561601808624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655.85233407422572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4689.5239310450725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0.17881561601808624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09375" defaultRowHeight="14.4"/>
  <cols>
    <col min="1" max="1" width="9.109375" style="133"/>
    <col min="2" max="2" width="18.88671875" style="133" bestFit="1" customWidth="1"/>
    <col min="3" max="3" width="10.44140625" style="133" bestFit="1" customWidth="1"/>
    <col min="4" max="5" width="9.109375" style="133"/>
    <col min="6" max="6" width="12.5546875" style="133" bestFit="1" customWidth="1"/>
    <col min="7" max="16384" width="9.10937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45851</v>
      </c>
      <c r="D7" s="136">
        <f>'Daily Dashboard'!C9</f>
        <v>31.425129045407132</v>
      </c>
      <c r="E7" s="136">
        <f>'Daily Dashboard'!D9</f>
        <v>34.233399999999079</v>
      </c>
      <c r="F7" s="136">
        <f>D7-E7</f>
        <v>-2.8082709545919471</v>
      </c>
    </row>
    <row r="8" spans="2:6">
      <c r="B8" s="134" t="s">
        <v>40</v>
      </c>
      <c r="C8" s="135">
        <f t="shared" ref="C8:C30" si="0">$C$7</f>
        <v>45851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45851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45851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45851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45851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45851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45851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45851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45851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45851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45851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45851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45851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45851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45851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45851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45851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45851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45851</v>
      </c>
      <c r="D26" s="138">
        <f>'Daily Dashboard'!$D$9</f>
        <v>34.233399999999079</v>
      </c>
      <c r="E26" s="138">
        <f>'Daily Dashboard'!$D$9</f>
        <v>34.233399999999079</v>
      </c>
      <c r="F26" s="138">
        <f>'Daily Dashboard'!$D$9</f>
        <v>34.233399999999079</v>
      </c>
    </row>
    <row r="27" spans="2:7">
      <c r="B27" s="134" t="s">
        <v>58</v>
      </c>
      <c r="C27" s="135">
        <f t="shared" si="0"/>
        <v>45851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45851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45851</v>
      </c>
      <c r="D29" s="134">
        <v>0</v>
      </c>
      <c r="E29" s="136">
        <f>-(F7+G30)+(SUM(G21:G23))</f>
        <v>1.9210082890337405</v>
      </c>
      <c r="F29" s="136">
        <f>E29</f>
        <v>1.9210082890337405</v>
      </c>
    </row>
    <row r="30" spans="2:7">
      <c r="B30" s="134" t="s">
        <v>61</v>
      </c>
      <c r="C30" s="135">
        <f t="shared" si="0"/>
        <v>45851</v>
      </c>
      <c r="D30" s="134">
        <f>'Daily Dashboard'!C18</f>
        <v>4.2694462387096781</v>
      </c>
      <c r="E30" s="134">
        <f>'Daily Dashboard'!D18</f>
        <v>4.4249999999999998</v>
      </c>
      <c r="F30" s="134">
        <f>E30-D30</f>
        <v>0.15555376129032172</v>
      </c>
      <c r="G30" s="133">
        <f>(F30/D30)*D7</f>
        <v>1.1449487237305438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N11" sqref="N11"/>
    </sheetView>
  </sheetViews>
  <sheetFormatPr defaultColWidth="9" defaultRowHeight="14.4"/>
  <cols>
    <col min="2" max="2" width="10.109375" bestFit="1" customWidth="1"/>
    <col min="3" max="3" width="14" customWidth="1"/>
    <col min="4" max="4" width="12" customWidth="1"/>
    <col min="5" max="5" width="12.44140625" customWidth="1"/>
    <col min="6" max="6" width="13.5546875" customWidth="1"/>
    <col min="8" max="8" width="9.44140625" customWidth="1"/>
    <col min="9" max="9" width="10.44140625" customWidth="1"/>
    <col min="10" max="10" width="11.109375" customWidth="1"/>
    <col min="12" max="12" width="9.44140625" customWidth="1"/>
    <col min="14" max="14" width="10.44140625" customWidth="1"/>
    <col min="15" max="15" width="9.44140625" customWidth="1"/>
    <col min="16" max="16" width="9.88671875" customWidth="1"/>
  </cols>
  <sheetData>
    <row r="1" spans="1:16">
      <c r="A1" s="95" t="s">
        <v>62</v>
      </c>
      <c r="B1" s="96">
        <f>'Daily Dashboard'!B3</f>
        <v>45851</v>
      </c>
    </row>
    <row r="2" spans="1:16" ht="20.399999999999999" customHeight="1">
      <c r="A2" s="279" t="s">
        <v>63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</row>
    <row r="3" spans="1:16" ht="43.2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13</v>
      </c>
      <c r="C4" s="81">
        <f>_xlfn.XLOOKUP($A4,'Modelling New'!$D:$D,'Modelling New'!R:R)</f>
        <v>55.502801103225814</v>
      </c>
      <c r="D4" s="181">
        <f>SUMIF('Daily KPI'!$D:$D,A4,'Daily KPI'!I:I)</f>
        <v>54.82</v>
      </c>
      <c r="E4" s="81">
        <f>_xlfn.XLOOKUP($A4,'Modelling New'!$D:$D,'Modelling New'!U:U)</f>
        <v>408.52667759029271</v>
      </c>
      <c r="F4" s="82">
        <f>SUMIF('Daily KPI'!$D:$D,'Monthly KPI'!$A4,'Daily KPI'!AA:AA)/1000</f>
        <v>425.67054000000633</v>
      </c>
      <c r="G4" s="83">
        <f>IFERROR(E4/C4/'Modelling New'!$AP$1,"")</f>
        <v>0.70053008017012453</v>
      </c>
      <c r="H4" s="84">
        <f>IFERROR(F4/D4/'Modelling New'!$AP$1,"")</f>
        <v>0.73901938587041993</v>
      </c>
      <c r="I4" s="83">
        <f>IFERROR(E4/(B4*24*'Modelling New'!$AP$1),"")</f>
        <v>0.12461981316188864</v>
      </c>
      <c r="J4" s="84">
        <f>IFERROR(F4/(B4*24*'Modelling New'!$AP$1),"")</f>
        <v>0.12984949594043727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0.99318857662289717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45845</v>
      </c>
      <c r="D7" s="85"/>
      <c r="F7" s="85"/>
    </row>
    <row r="8" spans="1:16">
      <c r="A8" s="95" t="s">
        <v>137</v>
      </c>
      <c r="B8" s="96">
        <f>B1</f>
        <v>45851</v>
      </c>
    </row>
    <row r="9" spans="1:16" ht="21">
      <c r="A9" s="279" t="s">
        <v>63</v>
      </c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  <c r="N9" s="279"/>
      <c r="O9" s="279"/>
      <c r="P9" s="279"/>
    </row>
    <row r="10" spans="1:16" ht="43.2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32.83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250.56102000000635</v>
      </c>
      <c r="G11" s="83">
        <f>IFERROR(E11/C11/'Modelling New'!$AP$1,"")</f>
        <v>0.70053008017012464</v>
      </c>
      <c r="H11" s="84">
        <f>IFERROR(F11/D11/'Modelling New'!$AP$1,"")</f>
        <v>0.72638002583661543</v>
      </c>
      <c r="I11" s="83">
        <f>IFERROR(E11/(B11*24*'Modelling New'!$AP$1),"")</f>
        <v>0.12461981316188864</v>
      </c>
      <c r="J11" s="84">
        <f>IFERROR(F11/(B11*24*'Modelling New'!$AP$1),"")</f>
        <v>0.14194676338223858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0.98785909713626374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8671875" defaultRowHeight="14.4"/>
  <cols>
    <col min="1" max="1" width="9.5546875" bestFit="1" customWidth="1"/>
    <col min="2" max="5" width="9" customWidth="1"/>
    <col min="6" max="9" width="10.44140625" customWidth="1"/>
    <col min="10" max="12" width="11.44140625" customWidth="1"/>
    <col min="13" max="13" width="15.109375" bestFit="1" customWidth="1"/>
    <col min="14" max="44" width="11.44140625" customWidth="1"/>
  </cols>
  <sheetData>
    <row r="1" spans="1:45" ht="57.6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cm="1">
        <f t="array" ref="F106">IFERROR(_xlfn.XLOOKUP(Table13[[#This Row],[Date]],Raw_Data[[#All],[Date]],Raw_Data[[#All],[Operating Hours]]),"")</f>
        <v>12.350000000000001</v>
      </c>
      <c r="G106" s="26">
        <f>IFERROR(_xlfn.XLOOKUP($A106,'Raw Data'!$G:$G,'Raw Data'!S:S)/1000,"")</f>
        <v>5.0999999999999996</v>
      </c>
      <c r="H106" s="26"/>
      <c r="I106" s="26">
        <f>IFERROR(_xlfn.XLOOKUP($A106,'Raw Data'!$G:$G,'Raw Data'!AF:AF)/1000,"")</f>
        <v>5.3</v>
      </c>
      <c r="J106" s="26"/>
      <c r="K106" s="149">
        <f>IFERROR(_xlfn.XLOOKUP($A106,'Raw Data'!$G:$G,'Raw Data'!W:W),"")</f>
        <v>26.036664026754874</v>
      </c>
      <c r="L106" s="148">
        <f>IFERROR(_xlfn.XLOOKUP($A106,'Raw Data'!$G:$G,'Raw Data'!X:X),"")</f>
        <v>35.68020456303995</v>
      </c>
      <c r="M106" s="148">
        <f>IFERROR(_xlfn.XLOOKUP($A106,'Raw Data'!$G:$G,'Raw Data'!Y:Y),"")</f>
        <v>0.64889132235416025</v>
      </c>
      <c r="N106" s="148">
        <f>IFERROR(_xlfn.XLOOKUP($A106,'Raw Data'!$G:$G,'Raw Data'!Z:Z),"")</f>
        <v>2.4967470169067383</v>
      </c>
      <c r="O106" s="188">
        <f>IFERROR(1-SUMIF('Plant BD'!$H:$H,$A106,'Plant BD'!$AE:$AE)/($AA106+SUMIF('Plant BD'!$H:$H,$A106,'Plant BD'!$AE:$AE)),"")</f>
        <v>0.99702211082710912</v>
      </c>
      <c r="P106" s="188"/>
      <c r="Q106" s="189"/>
      <c r="R106" s="191">
        <f>IFERROR(1-SUMIF('Grid BD'!$H:$H,$A106,'Grid BD'!$AD:$AD)/($AA106+SUMIF('Grid BD'!$H:$H,$A106,'Grid BD'!$AD:$AD)),"")</f>
        <v>1</v>
      </c>
      <c r="S106" s="17"/>
      <c r="T106" s="189">
        <f>IFERROR(1-SUMIF(Tracker_BD!H:H,$A106,Tracker_BD!AI:AI)/$F106,"")</f>
        <v>1</v>
      </c>
      <c r="U106" s="190">
        <f t="shared" si="7"/>
        <v>0.72147768513723998</v>
      </c>
      <c r="V106" s="17"/>
      <c r="W106" s="176">
        <f t="shared" si="8"/>
        <v>0.15932632213447381</v>
      </c>
      <c r="X106" s="17">
        <f>IFERROR(_xlfn.XLOOKUP($A106,'Raw Data'!$G:$G,'Raw Data'!AB:AB),"")</f>
        <v>40824</v>
      </c>
      <c r="Y106" s="17">
        <f>IFERROR(_xlfn.XLOOKUP($A106,'Raw Data'!$G:$G,'Raw Data'!AC:AC),"")</f>
        <v>40498.90000000596</v>
      </c>
      <c r="Z106" s="45">
        <f>IFERROR(_xlfn.XLOOKUP($A106,'Raw Data'!$G:$G,'Raw Data'!AD:AD),"")</f>
        <v>321.89999999996388</v>
      </c>
      <c r="AA106" s="45">
        <f>IFERROR(_xlfn.XLOOKUP($A106,'Raw Data'!$G:$G,'Raw Data'!AE:AE),"")</f>
        <v>40177.000000005995</v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cm="1">
        <f t="array" ref="F107">IFERROR(_xlfn.XLOOKUP(Table13[[#This Row],[Date]],Raw_Data[[#All],[Date]],Raw_Data[[#All],[Operating Hours]]),"")</f>
        <v>12.683333333333334</v>
      </c>
      <c r="G107" s="148">
        <f>IFERROR(_xlfn.XLOOKUP($A107,'Raw Data'!$G:$G,'Raw Data'!S:S)/1000,"")</f>
        <v>4.3600000000000003</v>
      </c>
      <c r="H107" s="148"/>
      <c r="I107" s="148">
        <f>IFERROR(_xlfn.XLOOKUP($A107,'Raw Data'!$G:$G,'Raw Data'!AF:AF)/1000,"")</f>
        <v>4.4450000000000003</v>
      </c>
      <c r="J107" s="148"/>
      <c r="K107" s="149">
        <f>IFERROR(_xlfn.XLOOKUP($A107,'Raw Data'!$G:$G,'Raw Data'!W:W),"")</f>
        <v>25.561817547154863</v>
      </c>
      <c r="L107" s="148">
        <f>IFERROR(_xlfn.XLOOKUP($A107,'Raw Data'!$G:$G,'Raw Data'!X:X),"")</f>
        <v>34.0561224269116</v>
      </c>
      <c r="M107" s="148">
        <f>IFERROR(_xlfn.XLOOKUP($A107,'Raw Data'!$G:$G,'Raw Data'!Y:Y),"")</f>
        <v>1.6255023647637505</v>
      </c>
      <c r="N107" s="148">
        <f>IFERROR(_xlfn.XLOOKUP($A107,'Raw Data'!$G:$G,'Raw Data'!Z:Z),"")</f>
        <v>6.2570199966430664</v>
      </c>
      <c r="O107" s="188">
        <f>IFERROR(1-SUMIF('Plant BD'!$H:$H,$A107,'Plant BD'!$AE:$AE)/($AA107+SUMIF('Plant BD'!$H:$H,$A107,'Plant BD'!$AE:$AE)),"")</f>
        <v>1</v>
      </c>
      <c r="P107" s="188"/>
      <c r="Q107" s="189"/>
      <c r="R107" s="188">
        <f>IFERROR(1-SUMIF('Grid BD'!$H:$H,$A107,'Grid BD'!$AD:$AD)/($AA107+SUMIF('Grid BD'!$H:$H,$A107,'Grid BD'!$AD:$AD)),"")</f>
        <v>1</v>
      </c>
      <c r="S107" s="17"/>
      <c r="T107" s="189">
        <f>IFERROR(1-SUMIF(Tracker_BD!H:H,$A107,Tracker_BD!AI:AI)/$F107,"")</f>
        <v>1</v>
      </c>
      <c r="U107" s="190">
        <f t="shared" si="7"/>
        <v>0.7379621470415314</v>
      </c>
      <c r="V107" s="17"/>
      <c r="W107" s="176">
        <f t="shared" si="8"/>
        <v>0.13667673931665028</v>
      </c>
      <c r="X107" s="17">
        <f>IFERROR(_xlfn.XLOOKUP($A107,'Raw Data'!$G:$G,'Raw Data'!AB:AB),"")</f>
        <v>35045</v>
      </c>
      <c r="Y107" s="17">
        <f>IFERROR(_xlfn.XLOOKUP($A107,'Raw Data'!$G:$G,'Raw Data'!AC:AC),"")</f>
        <v>34773.000000001048</v>
      </c>
      <c r="Z107" s="45">
        <f>IFERROR(_xlfn.XLOOKUP($A107,'Raw Data'!$G:$G,'Raw Data'!AD:AD),"")</f>
        <v>307.49999999997613</v>
      </c>
      <c r="AA107" s="45">
        <f>IFERROR(_xlfn.XLOOKUP($A107,'Raw Data'!$G:$G,'Raw Data'!AE:AE),"")</f>
        <v>34465.50000000107</v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cm="1">
        <f t="array" ref="F108">IFERROR(_xlfn.XLOOKUP(Table13[[#This Row],[Date]],Raw_Data[[#All],[Date]],Raw_Data[[#All],[Operating Hours]]),"")</f>
        <v>12.433333333333332</v>
      </c>
      <c r="G108" s="26">
        <f>IFERROR(_xlfn.XLOOKUP($A108,'Raw Data'!$G:$G,'Raw Data'!S:S)/1000,"")</f>
        <v>4.28</v>
      </c>
      <c r="H108" s="26"/>
      <c r="I108" s="26">
        <f>IFERROR(_xlfn.XLOOKUP($A108,'Raw Data'!$G:$G,'Raw Data'!AF:AF)/1000,"")</f>
        <v>4.4249999999999998</v>
      </c>
      <c r="J108" s="26"/>
      <c r="K108" s="149">
        <f>IFERROR(_xlfn.XLOOKUP($A108,'Raw Data'!$G:$G,'Raw Data'!W:W),"")</f>
        <v>25.698734934550213</v>
      </c>
      <c r="L108" s="148">
        <f>IFERROR(_xlfn.XLOOKUP($A108,'Raw Data'!$G:$G,'Raw Data'!X:X),"")</f>
        <v>34.71747594218018</v>
      </c>
      <c r="M108" s="148">
        <f>IFERROR(_xlfn.XLOOKUP($A108,'Raw Data'!$G:$G,'Raw Data'!Y:Y),"")</f>
        <v>1.4899570457587441</v>
      </c>
      <c r="N108" s="148">
        <f>IFERROR(_xlfn.XLOOKUP($A108,'Raw Data'!$G:$G,'Raw Data'!Z:Z),"")</f>
        <v>5.9533529281616211</v>
      </c>
      <c r="O108" s="188">
        <f>IFERROR(1-SUMIF('Plant BD'!$H:$H,$A108,'Plant BD'!$AE:$AE)/($AA108+SUMIF('Plant BD'!$H:$H,$A108,'Plant BD'!$AE:$AE)),"")</f>
        <v>1</v>
      </c>
      <c r="P108" s="188"/>
      <c r="Q108" s="189"/>
      <c r="R108" s="191">
        <f>IFERROR(1-SUMIF('Grid BD'!$H:$H,$A108,'Grid BD'!$AD:$AD)/($AA108+SUMIF('Grid BD'!$H:$H,$A108,'Grid BD'!$AD:$AD)),"")</f>
        <v>1</v>
      </c>
      <c r="S108" s="17"/>
      <c r="T108" s="189">
        <f>IFERROR(1-SUMIF(Tracker_BD!H:H,$A108,Tracker_BD!AI:AI)/$F108,"")</f>
        <v>1</v>
      </c>
      <c r="U108" s="190">
        <f t="shared" si="7"/>
        <v>0.73630547082142339</v>
      </c>
      <c r="V108" s="17"/>
      <c r="W108" s="176">
        <f t="shared" si="8"/>
        <v>0.13575632118269992</v>
      </c>
      <c r="X108" s="17">
        <f>IFERROR(_xlfn.XLOOKUP($A108,'Raw Data'!$G:$G,'Raw Data'!AB:AB),"")</f>
        <v>34830</v>
      </c>
      <c r="Y108" s="17">
        <f>IFERROR(_xlfn.XLOOKUP($A108,'Raw Data'!$G:$G,'Raw Data'!AC:AC),"")</f>
        <v>34548.999999999069</v>
      </c>
      <c r="Z108" s="45">
        <f>IFERROR(_xlfn.XLOOKUP($A108,'Raw Data'!$G:$G,'Raw Data'!AD:AD),"")</f>
        <v>315.59999999998922</v>
      </c>
      <c r="AA108" s="45">
        <f>IFERROR(_xlfn.XLOOKUP($A108,'Raw Data'!$G:$G,'Raw Data'!AE:AE),"")</f>
        <v>34233.399999999077</v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t="str" cm="1">
        <f t="array" ref="F109">IFERROR(_xlfn.XLOOKUP(Table13[[#This Row],[Date]],Raw_Data[[#All],[Date]],Raw_Data[[#All],[Operating Hours]]),"")</f>
        <v/>
      </c>
      <c r="G109" s="148" t="str">
        <f>IFERROR(_xlfn.XLOOKUP($A109,'Raw Data'!$G:$G,'Raw Data'!S:S)/1000,"")</f>
        <v/>
      </c>
      <c r="H109" s="148"/>
      <c r="I109" s="148" t="str">
        <f>IFERROR(_xlfn.XLOOKUP($A109,'Raw Data'!$G:$G,'Raw Data'!AF:AF)/1000,"")</f>
        <v/>
      </c>
      <c r="J109" s="148"/>
      <c r="K109" s="149" t="str">
        <f>IFERROR(_xlfn.XLOOKUP($A109,'Raw Data'!$G:$G,'Raw Data'!W:W),"")</f>
        <v/>
      </c>
      <c r="L109" s="148" t="str">
        <f>IFERROR(_xlfn.XLOOKUP($A109,'Raw Data'!$G:$G,'Raw Data'!X:X),"")</f>
        <v/>
      </c>
      <c r="M109" s="148" t="str">
        <f>IFERROR(_xlfn.XLOOKUP($A109,'Raw Data'!$G:$G,'Raw Data'!Y:Y),"")</f>
        <v/>
      </c>
      <c r="N109" s="148" t="str">
        <f>IFERROR(_xlfn.XLOOKUP($A109,'Raw Data'!$G:$G,'Raw Data'!Z:Z),"")</f>
        <v/>
      </c>
      <c r="O109" s="188" t="str">
        <f>IFERROR(1-SUMIF('Plant BD'!$H:$H,$A109,'Plant BD'!$AE:$AE)/($AA109+SUMIF('Plant BD'!$H:$H,$A109,'Plant BD'!$AE:$AE)),"")</f>
        <v/>
      </c>
      <c r="P109" s="188"/>
      <c r="Q109" s="189"/>
      <c r="R109" s="188" t="str">
        <f>IFERROR(1-SUMIF('Grid BD'!$H:$H,$A109,'Grid BD'!$AD:$AD)/($AA109+SUMIF('Grid BD'!$H:$H,$A109,'Grid BD'!$AD:$AD)),"")</f>
        <v/>
      </c>
      <c r="S109" s="17"/>
      <c r="T109" s="189" t="str">
        <f>IFERROR(1-SUMIF(Tracker_BD!H:H,$A109,Tracker_BD!AI:AI)/$F109,"")</f>
        <v/>
      </c>
      <c r="U109" s="190" t="str">
        <f t="shared" si="7"/>
        <v/>
      </c>
      <c r="V109" s="17"/>
      <c r="W109" s="176" t="str">
        <f t="shared" si="8"/>
        <v/>
      </c>
      <c r="X109" s="17" t="str">
        <f>IFERROR(_xlfn.XLOOKUP($A109,'Raw Data'!$G:$G,'Raw Data'!AB:AB),"")</f>
        <v/>
      </c>
      <c r="Y109" s="17" t="str">
        <f>IFERROR(_xlfn.XLOOKUP($A109,'Raw Data'!$G:$G,'Raw Data'!AC:AC),"")</f>
        <v/>
      </c>
      <c r="Z109" s="45" t="str">
        <f>IFERROR(_xlfn.XLOOKUP($A109,'Raw Data'!$G:$G,'Raw Data'!AD:AD),"")</f>
        <v/>
      </c>
      <c r="AA109" s="45" t="str">
        <f>IFERROR(_xlfn.XLOOKUP($A109,'Raw Data'!$G:$G,'Raw Data'!AE:AE),"")</f>
        <v/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4.4"/>
  <cols>
    <col min="1" max="1" width="12.44140625" bestFit="1" customWidth="1"/>
    <col min="2" max="2" width="11.5546875" customWidth="1"/>
    <col min="3" max="4" width="13.44140625" customWidth="1"/>
    <col min="5" max="5" width="13.5546875" customWidth="1"/>
    <col min="6" max="6" width="14" customWidth="1"/>
    <col min="8" max="8" width="9.44140625" customWidth="1"/>
    <col min="9" max="9" width="9.88671875" customWidth="1"/>
    <col min="10" max="10" width="10.44140625" customWidth="1"/>
    <col min="12" max="12" width="9.44140625" customWidth="1"/>
    <col min="13" max="13" width="9" customWidth="1"/>
    <col min="14" max="14" width="9.44140625" customWidth="1"/>
    <col min="16" max="16" width="9.44140625" customWidth="1"/>
  </cols>
  <sheetData>
    <row r="1" spans="1:16">
      <c r="A1" s="86" t="s">
        <v>62</v>
      </c>
      <c r="B1" s="87">
        <f>'Daily Dashboard'!B3</f>
        <v>45851</v>
      </c>
      <c r="C1" s="80">
        <f>'Daily Dashboard'!$B$2</f>
        <v>45839</v>
      </c>
    </row>
    <row r="2" spans="1:16" ht="21">
      <c r="A2" s="279" t="s">
        <v>63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</row>
    <row r="3" spans="1:16" ht="43.2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104</v>
      </c>
      <c r="C4" s="89">
        <f>_xlfn.XLOOKUP($C$1,'Modelling New'!$D:$D,'Modelling New'!$S:$S)</f>
        <v>655.85233407422572</v>
      </c>
      <c r="D4" s="90">
        <f>IFERROR(SUMIFS('Daily KPI'!$I:$I,'Daily KPI'!$B:$B,'Annual KPI'!$A4,'Daily KPI'!$A:$A,"&lt;="&amp;'Annual KPI'!$B$1),"")</f>
        <v>583.48150000000021</v>
      </c>
      <c r="E4" s="89">
        <f>_xlfn.XLOOKUP($C$1,'Modelling New'!$D:$D,'Modelling New'!$V:$V)</f>
        <v>4689.5239310450725</v>
      </c>
      <c r="F4" s="90">
        <f>IFERROR(SUMIFS('Daily KPI'!$AA:$AA,'Daily KPI'!$B:$B,'Annual KPI'!$A4,'Daily KPI'!$A:$A,"&lt;="&amp;'Annual KPI'!$B$1)/1000,"")</f>
        <v>4367.0915200000009</v>
      </c>
      <c r="G4" s="91">
        <f>IFERROR(E4/C4/'Modelling New'!$AP$1,"")</f>
        <v>0.6805247986365035</v>
      </c>
      <c r="H4" s="92">
        <f>IFERROR(F4/D4/'Modelling New'!$AP$1,"")</f>
        <v>0.71233858686257878</v>
      </c>
      <c r="I4" s="91">
        <f>IFERROR(E4/(B4*24*'Modelling New'!$AP$1),"")</f>
        <v>0.17881561601808627</v>
      </c>
      <c r="J4" s="92">
        <f>IFERROR(F4/(B4*24*'Modelling New'!$AP$1),"")</f>
        <v>0.16652098844970267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0.99047632656069251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0.99316167609551431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79" t="s">
        <v>63</v>
      </c>
      <c r="B7" s="279"/>
      <c r="C7" s="279"/>
      <c r="D7" s="279"/>
      <c r="E7" s="279"/>
      <c r="F7" s="279"/>
      <c r="G7" s="279"/>
      <c r="H7" s="279"/>
      <c r="I7" s="279"/>
      <c r="J7" s="279"/>
      <c r="K7" s="279"/>
      <c r="L7" s="279"/>
      <c r="M7" s="279"/>
      <c r="N7" s="279"/>
      <c r="O7" s="279"/>
      <c r="P7" s="279"/>
    </row>
    <row r="8" spans="1:16" ht="43.2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13</v>
      </c>
      <c r="C12" s="81">
        <f>_xlfn.XLOOKUP($A12,'Modelling New'!$D:$D,'Modelling New'!$R:$R)</f>
        <v>55.502801103225814</v>
      </c>
      <c r="D12" s="82">
        <f>SUMIF('Daily KPI'!$D:$D,$A12,'Daily KPI'!$I:$I)</f>
        <v>54.82</v>
      </c>
      <c r="E12" s="81">
        <f>_xlfn.XLOOKUP($A12,'Modelling New'!$D:$D,'Modelling New'!$U:$U)</f>
        <v>408.52667759029271</v>
      </c>
      <c r="F12" s="82">
        <f>SUMIF('Daily KPI'!$D:$D,$A12,'Daily KPI'!$AA:$AA)/1000</f>
        <v>425.67054000000633</v>
      </c>
      <c r="G12" s="83">
        <f>IFERROR(E12/C12/'Modelling New'!$AP$1,"")</f>
        <v>0.70053008017012453</v>
      </c>
      <c r="H12" s="84">
        <f>IFERROR(F12/D12/'Modelling New'!$AP$1,"")</f>
        <v>0.73901938587041993</v>
      </c>
      <c r="I12" s="83">
        <f>IFERROR(E12/(B12*24*'Modelling New'!$AP$1),"")</f>
        <v>0.12461981316188864</v>
      </c>
      <c r="J12" s="84">
        <f>IFERROR(F12/(B12*24*'Modelling New'!$AP$1),"")</f>
        <v>0.12984949594043727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0.99318857662289717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12"/>
  <sheetViews>
    <sheetView topLeftCell="A2" zoomScale="95" zoomScaleNormal="95" workbookViewId="0">
      <pane xSplit="7" ySplit="2" topLeftCell="H96" activePane="bottomRight" state="frozen"/>
      <selection activeCell="I9" sqref="I9"/>
      <selection pane="topRight" activeCell="I9" sqref="I9"/>
      <selection pane="bottomLeft" activeCell="I9" sqref="I9"/>
      <selection pane="bottomRight" activeCell="E110" sqref="E110"/>
    </sheetView>
  </sheetViews>
  <sheetFormatPr defaultColWidth="9" defaultRowHeight="14.4"/>
  <cols>
    <col min="1" max="1" width="11.109375" style="17" customWidth="1"/>
    <col min="2" max="2" width="12.44140625" style="17" customWidth="1"/>
    <col min="3" max="4" width="12.109375" style="17" customWidth="1"/>
    <col min="5" max="6" width="9" style="17" customWidth="1"/>
    <col min="7" max="8" width="12.44140625" style="17" customWidth="1"/>
    <col min="9" max="9" width="9.5546875" style="17" customWidth="1"/>
    <col min="10" max="10" width="10.88671875" style="17" customWidth="1"/>
    <col min="11" max="16" width="9.88671875" style="17" customWidth="1"/>
    <col min="17" max="17" width="10.109375" style="17" customWidth="1"/>
    <col min="18" max="21" width="9.88671875" style="17" customWidth="1"/>
    <col min="22" max="22" width="10.109375" style="17" customWidth="1"/>
    <col min="23" max="24" width="10.44140625" style="17" customWidth="1"/>
    <col min="25" max="25" width="9.44140625" style="17" customWidth="1"/>
    <col min="26" max="26" width="9.88671875" style="17" customWidth="1"/>
    <col min="27" max="27" width="10" style="17" customWidth="1"/>
    <col min="28" max="30" width="9.88671875" style="17" customWidth="1"/>
    <col min="31" max="31" width="12.44140625" style="17" customWidth="1"/>
    <col min="32" max="33" width="9.88671875" style="17" customWidth="1"/>
    <col min="34" max="34" width="13.44140625" style="17" bestFit="1" customWidth="1"/>
    <col min="35" max="16384" width="9" style="17"/>
  </cols>
  <sheetData>
    <row r="1" spans="1:35" ht="15.6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48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 t="shared" ref="AI104:AI109" si="10"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2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 t="shared" si="10"/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 t="shared" si="10"/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17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17">
        <f>SUM(Raw_Data[[#This Row],[IC1_Inv1]:[IC2_Inv2]])</f>
        <v>26496</v>
      </c>
      <c r="AC107" s="17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17">
        <f>Raw_Data[[#This Row],[Export  (kWh)]]-Raw_Data[[#This Row],[Import (kWh)]]</f>
        <v>26061.959999999239</v>
      </c>
      <c r="AF107" s="17">
        <f>IFERROR(AVERAGE(Raw_Data[[#This Row],[POA1(Wh/m2)]:[POA2(Wh/m2)]]),"")</f>
        <v>3325</v>
      </c>
      <c r="AG107" s="17">
        <f>IFERROR(Raw_Data[[#This Row],[Avg. POA without Exclusion (W/m2)2]]-Raw_Data[[#This Row],[Avg. POA Lost (W/m2)]],"")</f>
        <v>3325</v>
      </c>
      <c r="AH107" s="17">
        <v>120137.5851</v>
      </c>
      <c r="AI107" s="33">
        <f t="shared" si="10"/>
        <v>12.033333333333333</v>
      </c>
    </row>
    <row r="108" spans="1:35">
      <c r="A108" s="17" t="s">
        <v>4</v>
      </c>
      <c r="B108" s="17">
        <v>2025</v>
      </c>
      <c r="C108" s="146" t="s">
        <v>211</v>
      </c>
      <c r="D108" s="146" t="s">
        <v>213</v>
      </c>
      <c r="E108" s="42">
        <v>45839</v>
      </c>
      <c r="F108" s="17">
        <f>DAY(EOMONTH(Raw_Data[[#This Row],[Month Year]],0))</f>
        <v>31</v>
      </c>
      <c r="G108" s="77">
        <v>45849</v>
      </c>
      <c r="H108" s="30">
        <f>_xlfn.XLOOKUP(Raw_Data[[#This Row],[Month Year]],'Modelling New'!D:D,'Modelling New'!N:N)</f>
        <v>10.507</v>
      </c>
      <c r="I108" s="31">
        <v>0.25694444444444442</v>
      </c>
      <c r="J108" s="31">
        <v>0.77152777777777781</v>
      </c>
      <c r="K108" s="17">
        <v>6563</v>
      </c>
      <c r="L108" s="17">
        <v>7050</v>
      </c>
      <c r="M108" s="17">
        <v>7110</v>
      </c>
      <c r="N108" s="17">
        <v>6920</v>
      </c>
      <c r="O108" s="17">
        <v>6701</v>
      </c>
      <c r="P108" s="17">
        <v>6480</v>
      </c>
      <c r="Q108" s="17">
        <v>120370.3726</v>
      </c>
      <c r="R108" s="17">
        <v>16.004009</v>
      </c>
      <c r="S108" s="17">
        <v>5100</v>
      </c>
      <c r="T108" s="17">
        <v>5300</v>
      </c>
      <c r="U108" s="17">
        <v>5300</v>
      </c>
      <c r="V108" s="17">
        <v>0</v>
      </c>
      <c r="W108" s="45">
        <v>26.036664026754874</v>
      </c>
      <c r="X108" s="30">
        <v>35.68020456303995</v>
      </c>
      <c r="Y108" s="30">
        <v>0.64889132235416025</v>
      </c>
      <c r="Z108" s="30">
        <v>2.4967470169067383</v>
      </c>
      <c r="AA108" s="17">
        <v>0</v>
      </c>
      <c r="AB108" s="17">
        <f>SUM(Raw_Data[[#This Row],[IC1_Inv1]:[IC2_Inv2]])</f>
        <v>40824</v>
      </c>
      <c r="AC108" s="17">
        <f>IF((Raw_Data[[#This Row],[66 kV ABT Main Meter Reading (Export)]]-Q107)*1000&lt;0,0,(Raw_Data[[#This Row],[66 kV ABT Main Meter Reading (Export)]]-Q107)*1000)</f>
        <v>40498.90000000596</v>
      </c>
      <c r="AD108" s="17">
        <f>IF((Raw_Data[[#This Row],[66 kV CRP MFM Reading (Import)]]-R107)*60000&lt;0,0,(Raw_Data[[#This Row],[66 kV CRP MFM Reading (Import)]]-R107)*60000)</f>
        <v>321.89999999996388</v>
      </c>
      <c r="AE108" s="17">
        <f>Raw_Data[[#This Row],[Export  (kWh)]]-Raw_Data[[#This Row],[Import (kWh)]]</f>
        <v>40177.000000005995</v>
      </c>
      <c r="AF108" s="17">
        <f>IFERROR(AVERAGE(Raw_Data[[#This Row],[POA1(Wh/m2)]:[POA2(Wh/m2)]]),"")</f>
        <v>5300</v>
      </c>
      <c r="AG108" s="17">
        <f>IFERROR(Raw_Data[[#This Row],[Avg. POA without Exclusion (W/m2)2]]-Raw_Data[[#This Row],[Avg. POA Lost (W/m2)]],"")</f>
        <v>5300</v>
      </c>
      <c r="AH108" s="17">
        <v>120178.0349</v>
      </c>
      <c r="AI108" s="33">
        <f t="shared" si="10"/>
        <v>12.350000000000001</v>
      </c>
    </row>
    <row r="109" spans="1:35">
      <c r="A109" s="17" t="s">
        <v>4</v>
      </c>
      <c r="B109" s="17">
        <v>2025</v>
      </c>
      <c r="C109" s="146" t="s">
        <v>211</v>
      </c>
      <c r="D109" s="146" t="s">
        <v>213</v>
      </c>
      <c r="E109" s="42">
        <v>45839</v>
      </c>
      <c r="F109" s="17">
        <f>DAY(EOMONTH(Raw_Data[[#This Row],[Month Year]],0))</f>
        <v>31</v>
      </c>
      <c r="G109" s="77">
        <v>45850</v>
      </c>
      <c r="H109" s="30">
        <f>_xlfn.XLOOKUP(Raw_Data[[#This Row],[Month Year]],'Modelling New'!D:D,'Modelling New'!N:N)</f>
        <v>10.507</v>
      </c>
      <c r="I109" s="31">
        <v>0.25486111111111109</v>
      </c>
      <c r="J109" s="31">
        <v>0.78333333333333333</v>
      </c>
      <c r="K109" s="17">
        <v>5661</v>
      </c>
      <c r="L109" s="17">
        <v>6221</v>
      </c>
      <c r="M109" s="17">
        <v>6072</v>
      </c>
      <c r="N109" s="17">
        <v>5850</v>
      </c>
      <c r="O109" s="17">
        <v>5710</v>
      </c>
      <c r="P109" s="17">
        <v>5531</v>
      </c>
      <c r="Q109" s="17">
        <v>120405.1456</v>
      </c>
      <c r="R109" s="17">
        <v>16.009134</v>
      </c>
      <c r="S109" s="17">
        <v>4360</v>
      </c>
      <c r="T109" s="17">
        <v>4480</v>
      </c>
      <c r="U109" s="17">
        <v>4410</v>
      </c>
      <c r="V109" s="17">
        <v>0</v>
      </c>
      <c r="W109" s="45">
        <v>25.561817547154863</v>
      </c>
      <c r="X109" s="30">
        <v>34.0561224269116</v>
      </c>
      <c r="Y109" s="30">
        <v>1.6255023647637505</v>
      </c>
      <c r="Z109" s="30">
        <v>6.2570199966430664</v>
      </c>
      <c r="AA109" s="17">
        <v>0.98</v>
      </c>
      <c r="AB109" s="17">
        <f>SUM(Raw_Data[[#This Row],[IC1_Inv1]:[IC2_Inv2]])</f>
        <v>35045</v>
      </c>
      <c r="AC109" s="17">
        <f>IF((Raw_Data[[#This Row],[66 kV ABT Main Meter Reading (Export)]]-Q108)*1000&lt;0,0,(Raw_Data[[#This Row],[66 kV ABT Main Meter Reading (Export)]]-Q108)*1000)</f>
        <v>34773.000000001048</v>
      </c>
      <c r="AD109" s="17">
        <f>IF((Raw_Data[[#This Row],[66 kV CRP MFM Reading (Import)]]-R108)*60000&lt;0,0,(Raw_Data[[#This Row],[66 kV CRP MFM Reading (Import)]]-R108)*60000)</f>
        <v>307.49999999997613</v>
      </c>
      <c r="AE109" s="17">
        <f>Raw_Data[[#This Row],[Export  (kWh)]]-Raw_Data[[#This Row],[Import (kWh)]]</f>
        <v>34465.50000000107</v>
      </c>
      <c r="AF109" s="17">
        <f>IFERROR(AVERAGE(Raw_Data[[#This Row],[POA1(Wh/m2)]:[POA2(Wh/m2)]]),"")</f>
        <v>4445</v>
      </c>
      <c r="AG109" s="17">
        <f>IFERROR(Raw_Data[[#This Row],[Avg. POA without Exclusion (W/m2)2]]-Raw_Data[[#This Row],[Avg. POA Lost (W/m2)]],"")</f>
        <v>4445</v>
      </c>
      <c r="AH109" s="17">
        <v>120212.7608</v>
      </c>
      <c r="AI109" s="33">
        <f t="shared" si="10"/>
        <v>12.683333333333334</v>
      </c>
    </row>
    <row r="110" spans="1:35">
      <c r="A110" s="17" t="s">
        <v>4</v>
      </c>
      <c r="B110" s="17">
        <v>2025</v>
      </c>
      <c r="C110" s="146" t="s">
        <v>211</v>
      </c>
      <c r="D110" s="146" t="s">
        <v>213</v>
      </c>
      <c r="E110" s="42">
        <v>45839</v>
      </c>
      <c r="F110" s="17">
        <f>DAY(EOMONTH(Raw_Data[[#This Row],[Month Year]],0))</f>
        <v>31</v>
      </c>
      <c r="G110" s="77">
        <v>45851</v>
      </c>
      <c r="H110" s="30">
        <f>_xlfn.XLOOKUP(Raw_Data[[#This Row],[Month Year]],'Modelling New'!D:D,'Modelling New'!N:N)</f>
        <v>10.507</v>
      </c>
      <c r="I110" s="31">
        <v>0.25972222222222224</v>
      </c>
      <c r="J110" s="31">
        <v>0.77777777777777779</v>
      </c>
      <c r="K110" s="17">
        <v>5530</v>
      </c>
      <c r="L110" s="17">
        <v>6140</v>
      </c>
      <c r="M110" s="17">
        <v>6060</v>
      </c>
      <c r="N110" s="17">
        <v>5970</v>
      </c>
      <c r="O110" s="17">
        <v>5710</v>
      </c>
      <c r="P110" s="17">
        <v>5420</v>
      </c>
      <c r="Q110" s="17">
        <v>120439.6946</v>
      </c>
      <c r="R110" s="17">
        <v>16.014393999999999</v>
      </c>
      <c r="S110" s="17">
        <v>4280</v>
      </c>
      <c r="T110" s="17">
        <v>4490</v>
      </c>
      <c r="U110" s="17">
        <v>4360</v>
      </c>
      <c r="V110" s="17">
        <v>0</v>
      </c>
      <c r="W110" s="45">
        <v>25.698734934550213</v>
      </c>
      <c r="X110" s="30">
        <v>34.71747594218018</v>
      </c>
      <c r="Y110" s="30">
        <v>1.4899570457587441</v>
      </c>
      <c r="Z110" s="30">
        <v>5.9533529281616211</v>
      </c>
      <c r="AA110" s="17">
        <v>0.25400000810623169</v>
      </c>
      <c r="AB110" s="17">
        <f>SUM(Raw_Data[[#This Row],[IC1_Inv1]:[IC2_Inv2]])</f>
        <v>34830</v>
      </c>
      <c r="AC110" s="17">
        <f>IF((Raw_Data[[#This Row],[66 kV ABT Main Meter Reading (Export)]]-Q109)*1000&lt;0,0,(Raw_Data[[#This Row],[66 kV ABT Main Meter Reading (Export)]]-Q109)*1000)</f>
        <v>34548.999999999069</v>
      </c>
      <c r="AD110" s="17">
        <f>IF((Raw_Data[[#This Row],[66 kV CRP MFM Reading (Import)]]-R109)*60000&lt;0,0,(Raw_Data[[#This Row],[66 kV CRP MFM Reading (Import)]]-R109)*60000)</f>
        <v>315.59999999998922</v>
      </c>
      <c r="AE110" s="17">
        <f>Raw_Data[[#This Row],[Export  (kWh)]]-Raw_Data[[#This Row],[Import (kWh)]]</f>
        <v>34233.399999999077</v>
      </c>
      <c r="AF110" s="17">
        <f>IFERROR(AVERAGE(Raw_Data[[#This Row],[POA1(Wh/m2)]:[POA2(Wh/m2)]]),"")</f>
        <v>4425</v>
      </c>
      <c r="AG110" s="17">
        <f>IFERROR(Raw_Data[[#This Row],[Avg. POA without Exclusion (W/m2)2]]-Raw_Data[[#This Row],[Avg. POA Lost (W/m2)]],"")</f>
        <v>4425</v>
      </c>
      <c r="AH110" s="17">
        <v>120247.2641</v>
      </c>
      <c r="AI110" s="33">
        <f>(J110-I110)*24</f>
        <v>12.433333333333332</v>
      </c>
    </row>
    <row r="112" spans="1:35">
      <c r="L112" s="252"/>
    </row>
  </sheetData>
  <phoneticPr fontId="5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88" activePane="bottomRight" state="frozen"/>
      <selection activeCell="I9" sqref="I9"/>
      <selection pane="topRight" activeCell="I9" sqref="I9"/>
      <selection pane="bottomLeft" activeCell="I9" sqref="I9"/>
      <selection pane="bottomRight" activeCell="J1201" sqref="J1201"/>
    </sheetView>
  </sheetViews>
  <sheetFormatPr defaultColWidth="9" defaultRowHeight="14.4"/>
  <cols>
    <col min="1" max="1" width="11.44140625" customWidth="1"/>
    <col min="2" max="2" width="11.109375" customWidth="1"/>
    <col min="3" max="3" width="12.44140625" customWidth="1"/>
    <col min="4" max="4" width="14.109375" customWidth="1"/>
    <col min="5" max="5" width="13" customWidth="1"/>
    <col min="6" max="6" width="9" style="2" customWidth="1"/>
    <col min="8" max="8" width="10.44140625" customWidth="1"/>
    <col min="10" max="15" width="10.44140625" style="2" customWidth="1"/>
    <col min="16" max="17" width="8.5546875" style="2"/>
  </cols>
  <sheetData>
    <row r="1" spans="1:17" ht="2.4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4.1017438551719598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37" si="303">IFERROR(AVERAGEIF(J1196:O1196,"&gt;"&amp;0,J1196:O1196),"")</f>
        <v>4.0283275187311718</v>
      </c>
      <c r="Q1196" s="61">
        <f t="shared" ref="Q1196:Q1207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Data'!K107/J$1</f>
        <v>2.5513841213929278</v>
      </c>
      <c r="K1198" s="61">
        <f>'Raw Data'!L107/K$1</f>
        <v>2.4660448371788579</v>
      </c>
      <c r="L1198" s="61">
        <f>'Raw Data'!M107/L$1</f>
        <v>2.5718989383147428</v>
      </c>
      <c r="M1198" s="61">
        <f>'Raw Data'!N107/M$1</f>
        <v>2.5204153644520617</v>
      </c>
      <c r="N1198" s="61">
        <f>'Raw Data'!O107/N$1</f>
        <v>2.4870119558066199</v>
      </c>
      <c r="O1198" s="61">
        <f>'Raw Data'!P107/O$1</f>
        <v>2.538803922625787</v>
      </c>
      <c r="P1198" s="61">
        <f t="shared" si="303"/>
        <v>2.522593189961833</v>
      </c>
      <c r="Q1198" s="61">
        <f t="shared" si="304"/>
        <v>2.5718989383147428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Data'!K108/J$1</f>
        <v>3.9316116432734876</v>
      </c>
      <c r="K1199" s="61">
        <f>'Raw Data'!L108/K$1</f>
        <v>3.8455244640811652</v>
      </c>
      <c r="L1199" s="61">
        <f>'Raw Data'!M108/L$1</f>
        <v>3.9813197150920576</v>
      </c>
      <c r="M1199" s="61">
        <f>'Raw Data'!N108/M$1</f>
        <v>3.8758387382240591</v>
      </c>
      <c r="N1199" s="61">
        <f>'Raw Data'!O108/N$1</f>
        <v>3.8005626261938792</v>
      </c>
      <c r="O1199" s="61">
        <f>'Raw Data'!P108/O$1</f>
        <v>3.881889905289075</v>
      </c>
      <c r="P1199" s="61">
        <f t="shared" si="303"/>
        <v>3.8861245153589539</v>
      </c>
      <c r="Q1199" s="61">
        <f t="shared" si="304"/>
        <v>3.9813197150920576</v>
      </c>
    </row>
    <row r="1200" spans="1:17">
      <c r="A1200" s="112" t="s">
        <v>1690</v>
      </c>
      <c r="B1200" s="223">
        <v>6</v>
      </c>
      <c r="C1200" s="112">
        <v>2025</v>
      </c>
      <c r="D1200" s="112" t="s">
        <v>213</v>
      </c>
      <c r="E1200" s="112" t="s">
        <v>213</v>
      </c>
      <c r="F1200" s="206">
        <v>45870</v>
      </c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10.507</v>
      </c>
      <c r="J1200" s="178">
        <f>'Raw Data'!K109/J$1</f>
        <v>3.3912621533705947</v>
      </c>
      <c r="K1200" s="61">
        <f>'Raw Data'!L109/K$1</f>
        <v>3.3933344242622594</v>
      </c>
      <c r="L1200" s="61">
        <f>'Raw Data'!M109/L$1</f>
        <v>3.4000806343233436</v>
      </c>
      <c r="M1200" s="61">
        <f>'Raw Data'!N109/M$1</f>
        <v>3.2765399737876799</v>
      </c>
      <c r="N1200" s="61">
        <f>'Raw Data'!O109/N$1</f>
        <v>3.238503595816602</v>
      </c>
      <c r="O1200" s="61">
        <f>'Raw Data'!P109/O$1</f>
        <v>3.3133847324311536</v>
      </c>
      <c r="P1200" s="61">
        <f t="shared" ref="P1200:P1237" si="306">IFERROR(AVERAGEIF(J1200:O1200,"&gt;"&amp;0,J1200:O1200),"")</f>
        <v>3.3355175856652721</v>
      </c>
      <c r="Q1200" s="61">
        <f t="shared" ref="Q1200:Q1237" si="307">MAXA(J1200:O1200)</f>
        <v>3.4000806343233436</v>
      </c>
    </row>
    <row r="1201" spans="1:17">
      <c r="A1201" s="112" t="s">
        <v>1691</v>
      </c>
      <c r="B1201" s="223">
        <v>6</v>
      </c>
      <c r="C1201" s="112">
        <v>2025</v>
      </c>
      <c r="D1201" s="112" t="s">
        <v>213</v>
      </c>
      <c r="E1201" s="112" t="s">
        <v>213</v>
      </c>
      <c r="F1201" s="206">
        <v>45901</v>
      </c>
      <c r="G1201" s="223">
        <f t="shared" si="300"/>
        <v>30</v>
      </c>
      <c r="H1201" s="202">
        <f t="shared" si="305"/>
        <v>45850</v>
      </c>
      <c r="I1201" s="224">
        <f>_xlfn.XLOOKUP(Table12[[#This Row],[Month Year]],'Modelling New'!D:D,'Modelling New'!N:N)</f>
        <v>10.507</v>
      </c>
      <c r="J1201" s="178">
        <f>'Raw Data'!K110/J$1</f>
        <v>3.312785675347004</v>
      </c>
      <c r="K1201" s="61">
        <f>'Raw Data'!L110/K$1</f>
        <v>3.3491518027600504</v>
      </c>
      <c r="L1201" s="61">
        <f>'Raw Data'!M110/L$1</f>
        <v>3.3933611073780408</v>
      </c>
      <c r="M1201" s="61">
        <f>'Raw Data'!N110/M$1</f>
        <v>3.3437510501730685</v>
      </c>
      <c r="N1201" s="61">
        <f>'Raw Data'!O110/N$1</f>
        <v>3.238503595816602</v>
      </c>
      <c r="O1201" s="61">
        <f>'Raw Data'!P110/O$1</f>
        <v>3.2468893960905536</v>
      </c>
      <c r="P1201" s="61">
        <f t="shared" si="306"/>
        <v>3.3140737712608868</v>
      </c>
      <c r="Q1201" s="61">
        <f t="shared" si="307"/>
        <v>3.3933611073780408</v>
      </c>
    </row>
    <row r="1202" spans="1:17">
      <c r="A1202" s="112" t="s">
        <v>1692</v>
      </c>
      <c r="B1202" s="223">
        <v>6</v>
      </c>
      <c r="C1202" s="112">
        <v>2025</v>
      </c>
      <c r="D1202" s="112" t="s">
        <v>213</v>
      </c>
      <c r="E1202" s="112" t="s">
        <v>213</v>
      </c>
      <c r="F1202" s="206">
        <v>45931</v>
      </c>
      <c r="G1202" s="223">
        <f t="shared" si="300"/>
        <v>31</v>
      </c>
      <c r="H1202" s="202">
        <f t="shared" si="305"/>
        <v>45851</v>
      </c>
      <c r="I1202" s="224">
        <f>_xlfn.XLOOKUP(Table12[[#This Row],[Month Year]],'Modelling New'!D:D,'Modelling New'!N:N)</f>
        <v>10.507</v>
      </c>
      <c r="J1202" s="178">
        <f>'Raw Data'!K111/J$1</f>
        <v>0</v>
      </c>
      <c r="K1202" s="61">
        <f>'Raw Data'!L111/K$1</f>
        <v>0</v>
      </c>
      <c r="L1202" s="61">
        <f>'Raw Data'!M111/L$1</f>
        <v>0</v>
      </c>
      <c r="M1202" s="61">
        <f>'Raw Data'!N111/M$1</f>
        <v>0</v>
      </c>
      <c r="N1202" s="61">
        <f>'Raw Data'!O111/N$1</f>
        <v>0</v>
      </c>
      <c r="O1202" s="61">
        <f>'Raw Data'!P111/O$1</f>
        <v>0</v>
      </c>
      <c r="P1202" s="61" t="str">
        <f t="shared" si="306"/>
        <v/>
      </c>
      <c r="Q1202" s="61">
        <f t="shared" si="307"/>
        <v>0</v>
      </c>
    </row>
    <row r="1203" spans="1:17">
      <c r="A1203" s="112" t="s">
        <v>1693</v>
      </c>
      <c r="B1203" s="223">
        <v>6</v>
      </c>
      <c r="C1203" s="112">
        <v>2025</v>
      </c>
      <c r="D1203" s="112" t="s">
        <v>213</v>
      </c>
      <c r="E1203" s="112" t="s">
        <v>213</v>
      </c>
      <c r="F1203" s="206">
        <v>45962</v>
      </c>
      <c r="G1203" s="223">
        <f t="shared" si="300"/>
        <v>30</v>
      </c>
      <c r="H1203" s="202">
        <f t="shared" si="305"/>
        <v>45852</v>
      </c>
      <c r="I1203" s="224">
        <f>_xlfn.XLOOKUP(Table12[[#This Row],[Month Year]],'Modelling New'!D:D,'Modelling New'!N:N)</f>
        <v>10.507</v>
      </c>
      <c r="J1203" s="178">
        <f>'Raw Data'!K112/J$1</f>
        <v>0</v>
      </c>
      <c r="K1203" s="61">
        <f>'Raw Data'!L112/K$1</f>
        <v>0</v>
      </c>
      <c r="L1203" s="61">
        <f>'Raw Data'!M112/L$1</f>
        <v>0</v>
      </c>
      <c r="M1203" s="61">
        <f>'Raw Data'!N112/M$1</f>
        <v>0</v>
      </c>
      <c r="N1203" s="61">
        <f>'Raw Data'!O112/N$1</f>
        <v>0</v>
      </c>
      <c r="O1203" s="61">
        <f>'Raw Data'!P112/O$1</f>
        <v>0</v>
      </c>
      <c r="P1203" s="61" t="str">
        <f t="shared" si="306"/>
        <v/>
      </c>
      <c r="Q1203" s="61">
        <f t="shared" si="307"/>
        <v>0</v>
      </c>
    </row>
    <row r="1204" spans="1:17">
      <c r="A1204" s="112" t="s">
        <v>1694</v>
      </c>
      <c r="B1204" s="223">
        <v>6</v>
      </c>
      <c r="C1204" s="112">
        <v>2025</v>
      </c>
      <c r="D1204" s="112" t="s">
        <v>213</v>
      </c>
      <c r="E1204" s="112" t="s">
        <v>213</v>
      </c>
      <c r="F1204" s="206">
        <v>45992</v>
      </c>
      <c r="G1204" s="223">
        <f t="shared" si="300"/>
        <v>31</v>
      </c>
      <c r="H1204" s="202">
        <f t="shared" si="305"/>
        <v>45853</v>
      </c>
      <c r="I1204" s="224">
        <f>_xlfn.XLOOKUP(Table12[[#This Row],[Month Year]],'Modelling New'!D:D,'Modelling New'!N:N)</f>
        <v>10.507</v>
      </c>
      <c r="J1204" s="178">
        <f>'Raw Data'!K113/J$1</f>
        <v>0</v>
      </c>
      <c r="K1204" s="61">
        <f>'Raw Data'!L113/K$1</f>
        <v>0</v>
      </c>
      <c r="L1204" s="61">
        <f>'Raw Data'!M113/L$1</f>
        <v>0</v>
      </c>
      <c r="M1204" s="61">
        <f>'Raw Data'!N113/M$1</f>
        <v>0</v>
      </c>
      <c r="N1204" s="61">
        <f>'Raw Data'!O113/N$1</f>
        <v>0</v>
      </c>
      <c r="O1204" s="61">
        <f>'Raw Data'!P113/O$1</f>
        <v>0</v>
      </c>
      <c r="P1204" s="61" t="str">
        <f t="shared" si="306"/>
        <v/>
      </c>
      <c r="Q1204" s="61">
        <f t="shared" si="307"/>
        <v>0</v>
      </c>
    </row>
    <row r="1205" spans="1:17">
      <c r="A1205" s="112" t="s">
        <v>1695</v>
      </c>
      <c r="B1205" s="223">
        <v>6</v>
      </c>
      <c r="C1205" s="112">
        <v>2025</v>
      </c>
      <c r="D1205" s="112" t="s">
        <v>213</v>
      </c>
      <c r="E1205" s="112" t="s">
        <v>213</v>
      </c>
      <c r="F1205" s="206">
        <v>46023</v>
      </c>
      <c r="G1205" s="223">
        <f t="shared" si="300"/>
        <v>31</v>
      </c>
      <c r="H1205" s="202">
        <f t="shared" si="305"/>
        <v>45854</v>
      </c>
      <c r="I1205" s="224">
        <f>_xlfn.XLOOKUP(Table12[[#This Row],[Month Year]],'Modelling New'!D:D,'Modelling New'!N:N)</f>
        <v>10.507</v>
      </c>
      <c r="J1205" s="178">
        <f>'Raw Data'!K114/J$1</f>
        <v>0</v>
      </c>
      <c r="K1205" s="61">
        <f>'Raw Data'!L114/K$1</f>
        <v>0</v>
      </c>
      <c r="L1205" s="61">
        <f>'Raw Data'!M114/L$1</f>
        <v>0</v>
      </c>
      <c r="M1205" s="61">
        <f>'Raw Data'!N114/M$1</f>
        <v>0</v>
      </c>
      <c r="N1205" s="61">
        <f>'Raw Data'!O114/N$1</f>
        <v>0</v>
      </c>
      <c r="O1205" s="61">
        <f>'Raw Data'!P114/O$1</f>
        <v>0</v>
      </c>
      <c r="P1205" s="61" t="str">
        <f t="shared" si="306"/>
        <v/>
      </c>
      <c r="Q1205" s="61">
        <f t="shared" si="307"/>
        <v>0</v>
      </c>
    </row>
    <row r="1206" spans="1:17">
      <c r="A1206" s="112" t="s">
        <v>1696</v>
      </c>
      <c r="B1206" s="223">
        <v>6</v>
      </c>
      <c r="C1206" s="112">
        <v>2025</v>
      </c>
      <c r="D1206" s="112" t="s">
        <v>213</v>
      </c>
      <c r="E1206" s="112" t="s">
        <v>213</v>
      </c>
      <c r="F1206" s="206">
        <v>46054</v>
      </c>
      <c r="G1206" s="223">
        <f t="shared" si="300"/>
        <v>28</v>
      </c>
      <c r="H1206" s="202">
        <f t="shared" si="305"/>
        <v>45855</v>
      </c>
      <c r="I1206" s="224">
        <f>_xlfn.XLOOKUP(Table12[[#This Row],[Month Year]],'Modelling New'!D:D,'Modelling New'!N:N)</f>
        <v>10.507</v>
      </c>
      <c r="J1206" s="178">
        <f>'Raw Data'!K115/J$1</f>
        <v>0</v>
      </c>
      <c r="K1206" s="61">
        <f>'Raw Data'!L115/K$1</f>
        <v>0</v>
      </c>
      <c r="L1206" s="61">
        <f>'Raw Data'!M115/L$1</f>
        <v>0</v>
      </c>
      <c r="M1206" s="61">
        <f>'Raw Data'!N115/M$1</f>
        <v>0</v>
      </c>
      <c r="N1206" s="61">
        <f>'Raw Data'!O115/N$1</f>
        <v>0</v>
      </c>
      <c r="O1206" s="61">
        <f>'Raw Data'!P115/O$1</f>
        <v>0</v>
      </c>
      <c r="P1206" s="61" t="str">
        <f t="shared" si="306"/>
        <v/>
      </c>
      <c r="Q1206" s="61">
        <f t="shared" si="307"/>
        <v>0</v>
      </c>
    </row>
    <row r="1207" spans="1:17">
      <c r="A1207" s="112" t="s">
        <v>1697</v>
      </c>
      <c r="B1207" s="223">
        <v>6</v>
      </c>
      <c r="C1207" s="112">
        <v>2025</v>
      </c>
      <c r="D1207" s="112" t="s">
        <v>213</v>
      </c>
      <c r="E1207" s="112" t="s">
        <v>213</v>
      </c>
      <c r="F1207" s="206">
        <v>46082</v>
      </c>
      <c r="G1207" s="223">
        <f t="shared" si="300"/>
        <v>31</v>
      </c>
      <c r="H1207" s="202">
        <f t="shared" si="305"/>
        <v>45856</v>
      </c>
      <c r="I1207" s="224">
        <f>_xlfn.XLOOKUP(Table12[[#This Row],[Month Year]],'Modelling New'!D:D,'Modelling New'!N:N)</f>
        <v>10.507</v>
      </c>
      <c r="J1207" s="178">
        <f>'Raw Data'!K116/J$1</f>
        <v>0</v>
      </c>
      <c r="K1207" s="61">
        <f>'Raw Data'!L116/K$1</f>
        <v>0</v>
      </c>
      <c r="L1207" s="61">
        <f>'Raw Data'!M116/L$1</f>
        <v>0</v>
      </c>
      <c r="M1207" s="61">
        <f>'Raw Data'!N116/M$1</f>
        <v>0</v>
      </c>
      <c r="N1207" s="61">
        <f>'Raw Data'!O116/N$1</f>
        <v>0</v>
      </c>
      <c r="O1207" s="61">
        <f>'Raw Data'!P116/O$1</f>
        <v>0</v>
      </c>
      <c r="P1207" s="61" t="str">
        <f t="shared" si="306"/>
        <v/>
      </c>
      <c r="Q1207" s="61">
        <f t="shared" si="307"/>
        <v>0</v>
      </c>
    </row>
    <row r="1208" spans="1:17">
      <c r="A1208" s="112" t="s">
        <v>1698</v>
      </c>
      <c r="B1208" s="223">
        <v>6</v>
      </c>
      <c r="C1208" s="112">
        <v>2025</v>
      </c>
      <c r="D1208" s="112" t="s">
        <v>213</v>
      </c>
      <c r="E1208" s="112" t="s">
        <v>213</v>
      </c>
      <c r="F1208" s="206">
        <v>46113</v>
      </c>
      <c r="G1208" s="223">
        <f t="shared" si="300"/>
        <v>30</v>
      </c>
      <c r="H1208" s="202">
        <f t="shared" si="305"/>
        <v>45857</v>
      </c>
      <c r="I1208" s="224" t="e">
        <f>_xlfn.XLOOKUP(Table12[[#This Row],[Month Year]],'Modelling New'!D:D,'Modelling New'!N:N)</f>
        <v>#N/A</v>
      </c>
      <c r="J1208" s="178">
        <f>'Raw Data'!K117/J$1</f>
        <v>0</v>
      </c>
      <c r="K1208" s="61">
        <f>'Raw Data'!L117/K$1</f>
        <v>0</v>
      </c>
      <c r="L1208" s="61">
        <f>'Raw Data'!M117/L$1</f>
        <v>0</v>
      </c>
      <c r="M1208" s="61">
        <f>'Raw Data'!N117/M$1</f>
        <v>0</v>
      </c>
      <c r="N1208" s="61">
        <f>'Raw Data'!O117/N$1</f>
        <v>0</v>
      </c>
      <c r="O1208" s="61">
        <f>'Raw Data'!P117/O$1</f>
        <v>0</v>
      </c>
      <c r="P1208" s="61" t="str">
        <f t="shared" si="306"/>
        <v/>
      </c>
      <c r="Q1208" s="61">
        <f t="shared" si="307"/>
        <v>0</v>
      </c>
    </row>
    <row r="1209" spans="1:17">
      <c r="A1209" s="112" t="s">
        <v>1699</v>
      </c>
      <c r="B1209" s="223">
        <v>6</v>
      </c>
      <c r="C1209" s="112">
        <v>2025</v>
      </c>
      <c r="D1209" s="112" t="s">
        <v>213</v>
      </c>
      <c r="E1209" s="112" t="s">
        <v>213</v>
      </c>
      <c r="F1209" s="206">
        <v>46143</v>
      </c>
      <c r="G1209" s="223">
        <f t="shared" si="300"/>
        <v>31</v>
      </c>
      <c r="H1209" s="202">
        <f t="shared" si="305"/>
        <v>45858</v>
      </c>
      <c r="I1209" s="224" t="e">
        <f>_xlfn.XLOOKUP(Table12[[#This Row],[Month Year]],'Modelling New'!D:D,'Modelling New'!N:N)</f>
        <v>#N/A</v>
      </c>
      <c r="J1209" s="178">
        <f>'Raw Data'!K118/J$1</f>
        <v>0</v>
      </c>
      <c r="K1209" s="61">
        <f>'Raw Data'!L118/K$1</f>
        <v>0</v>
      </c>
      <c r="L1209" s="61">
        <f>'Raw Data'!M118/L$1</f>
        <v>0</v>
      </c>
      <c r="M1209" s="61">
        <f>'Raw Data'!N118/M$1</f>
        <v>0</v>
      </c>
      <c r="N1209" s="61">
        <f>'Raw Data'!O118/N$1</f>
        <v>0</v>
      </c>
      <c r="O1209" s="61">
        <f>'Raw Data'!P118/O$1</f>
        <v>0</v>
      </c>
      <c r="P1209" s="61" t="str">
        <f t="shared" si="306"/>
        <v/>
      </c>
      <c r="Q1209" s="61">
        <f t="shared" si="307"/>
        <v>0</v>
      </c>
    </row>
    <row r="1210" spans="1:17">
      <c r="A1210" s="112" t="s">
        <v>1700</v>
      </c>
      <c r="B1210" s="223">
        <v>6</v>
      </c>
      <c r="C1210" s="112">
        <v>2025</v>
      </c>
      <c r="D1210" s="112" t="s">
        <v>213</v>
      </c>
      <c r="E1210" s="112" t="s">
        <v>213</v>
      </c>
      <c r="F1210" s="206">
        <v>46174</v>
      </c>
      <c r="G1210" s="223">
        <f t="shared" si="300"/>
        <v>30</v>
      </c>
      <c r="H1210" s="202">
        <f t="shared" si="305"/>
        <v>45859</v>
      </c>
      <c r="I1210" s="224" t="e">
        <f>_xlfn.XLOOKUP(Table12[[#This Row],[Month Year]],'Modelling New'!D:D,'Modelling New'!N:N)</f>
        <v>#N/A</v>
      </c>
      <c r="J1210" s="178">
        <f>'Raw Data'!K119/J$1</f>
        <v>0</v>
      </c>
      <c r="K1210" s="61">
        <f>'Raw Data'!L119/K$1</f>
        <v>0</v>
      </c>
      <c r="L1210" s="61">
        <f>'Raw Data'!M119/L$1</f>
        <v>0</v>
      </c>
      <c r="M1210" s="61">
        <f>'Raw Data'!N119/M$1</f>
        <v>0</v>
      </c>
      <c r="N1210" s="61">
        <f>'Raw Data'!O119/N$1</f>
        <v>0</v>
      </c>
      <c r="O1210" s="61">
        <f>'Raw Data'!P119/O$1</f>
        <v>0</v>
      </c>
      <c r="P1210" s="61" t="str">
        <f t="shared" si="306"/>
        <v/>
      </c>
      <c r="Q1210" s="61">
        <f t="shared" si="307"/>
        <v>0</v>
      </c>
    </row>
    <row r="1211" spans="1:17">
      <c r="A1211" s="112" t="s">
        <v>1701</v>
      </c>
      <c r="B1211" s="223">
        <v>6</v>
      </c>
      <c r="C1211" s="112">
        <v>2025</v>
      </c>
      <c r="D1211" s="112" t="s">
        <v>213</v>
      </c>
      <c r="E1211" s="112" t="s">
        <v>213</v>
      </c>
      <c r="F1211" s="206">
        <v>46204</v>
      </c>
      <c r="G1211" s="223">
        <f t="shared" si="300"/>
        <v>31</v>
      </c>
      <c r="H1211" s="202">
        <f t="shared" si="305"/>
        <v>45860</v>
      </c>
      <c r="I1211" s="224" t="e">
        <f>_xlfn.XLOOKUP(Table12[[#This Row],[Month Year]],'Modelling New'!D:D,'Modelling New'!N:N)</f>
        <v>#N/A</v>
      </c>
      <c r="J1211" s="178">
        <f>'Raw Data'!K120/J$1</f>
        <v>0</v>
      </c>
      <c r="K1211" s="61">
        <f>'Raw Data'!L120/K$1</f>
        <v>0</v>
      </c>
      <c r="L1211" s="61">
        <f>'Raw Data'!M120/L$1</f>
        <v>0</v>
      </c>
      <c r="M1211" s="61">
        <f>'Raw Data'!N120/M$1</f>
        <v>0</v>
      </c>
      <c r="N1211" s="61">
        <f>'Raw Data'!O120/N$1</f>
        <v>0</v>
      </c>
      <c r="O1211" s="61">
        <f>'Raw Data'!P120/O$1</f>
        <v>0</v>
      </c>
      <c r="P1211" s="61" t="str">
        <f t="shared" si="306"/>
        <v/>
      </c>
      <c r="Q1211" s="61">
        <f t="shared" si="307"/>
        <v>0</v>
      </c>
    </row>
    <row r="1212" spans="1:17">
      <c r="A1212" s="112" t="s">
        <v>1702</v>
      </c>
      <c r="B1212" s="223">
        <v>6</v>
      </c>
      <c r="C1212" s="112">
        <v>2025</v>
      </c>
      <c r="D1212" s="112" t="s">
        <v>213</v>
      </c>
      <c r="E1212" s="112" t="s">
        <v>213</v>
      </c>
      <c r="F1212" s="206">
        <v>46235</v>
      </c>
      <c r="G1212" s="223">
        <f t="shared" si="300"/>
        <v>31</v>
      </c>
      <c r="H1212" s="202">
        <f t="shared" si="305"/>
        <v>45861</v>
      </c>
      <c r="I1212" s="224" t="e">
        <f>_xlfn.XLOOKUP(Table12[[#This Row],[Month Year]],'Modelling New'!D:D,'Modelling New'!N:N)</f>
        <v>#N/A</v>
      </c>
      <c r="J1212" s="178">
        <f>'Raw Data'!K121/J$1</f>
        <v>0</v>
      </c>
      <c r="K1212" s="61">
        <f>'Raw Data'!L121/K$1</f>
        <v>0</v>
      </c>
      <c r="L1212" s="61">
        <f>'Raw Data'!M121/L$1</f>
        <v>0</v>
      </c>
      <c r="M1212" s="61">
        <f>'Raw Data'!N121/M$1</f>
        <v>0</v>
      </c>
      <c r="N1212" s="61">
        <f>'Raw Data'!O121/N$1</f>
        <v>0</v>
      </c>
      <c r="O1212" s="61">
        <f>'Raw Data'!P121/O$1</f>
        <v>0</v>
      </c>
      <c r="P1212" s="61" t="str">
        <f t="shared" si="306"/>
        <v/>
      </c>
      <c r="Q1212" s="61">
        <f t="shared" si="307"/>
        <v>0</v>
      </c>
    </row>
    <row r="1213" spans="1:17">
      <c r="A1213" s="112" t="s">
        <v>1703</v>
      </c>
      <c r="B1213" s="223">
        <v>6</v>
      </c>
      <c r="C1213" s="112">
        <v>2025</v>
      </c>
      <c r="D1213" s="112" t="s">
        <v>213</v>
      </c>
      <c r="E1213" s="112" t="s">
        <v>213</v>
      </c>
      <c r="F1213" s="206">
        <v>46266</v>
      </c>
      <c r="G1213" s="223">
        <f t="shared" si="300"/>
        <v>30</v>
      </c>
      <c r="H1213" s="202">
        <f t="shared" si="305"/>
        <v>45862</v>
      </c>
      <c r="I1213" s="224" t="e">
        <f>_xlfn.XLOOKUP(Table12[[#This Row],[Month Year]],'Modelling New'!D:D,'Modelling New'!N:N)</f>
        <v>#N/A</v>
      </c>
      <c r="J1213" s="178">
        <f>'Raw Data'!K122/J$1</f>
        <v>0</v>
      </c>
      <c r="K1213" s="61">
        <f>'Raw Data'!L122/K$1</f>
        <v>0</v>
      </c>
      <c r="L1213" s="61">
        <f>'Raw Data'!M122/L$1</f>
        <v>0</v>
      </c>
      <c r="M1213" s="61">
        <f>'Raw Data'!N122/M$1</f>
        <v>0</v>
      </c>
      <c r="N1213" s="61">
        <f>'Raw Data'!O122/N$1</f>
        <v>0</v>
      </c>
      <c r="O1213" s="61">
        <f>'Raw Data'!P122/O$1</f>
        <v>0</v>
      </c>
      <c r="P1213" s="61" t="str">
        <f t="shared" si="306"/>
        <v/>
      </c>
      <c r="Q1213" s="61">
        <f t="shared" si="307"/>
        <v>0</v>
      </c>
    </row>
    <row r="1214" spans="1:17">
      <c r="A1214" s="112" t="s">
        <v>1704</v>
      </c>
      <c r="B1214" s="223">
        <v>6</v>
      </c>
      <c r="C1214" s="112">
        <v>2025</v>
      </c>
      <c r="D1214" s="112" t="s">
        <v>213</v>
      </c>
      <c r="E1214" s="112" t="s">
        <v>213</v>
      </c>
      <c r="F1214" s="206">
        <v>46296</v>
      </c>
      <c r="G1214" s="223">
        <f t="shared" si="300"/>
        <v>31</v>
      </c>
      <c r="H1214" s="202">
        <f t="shared" si="305"/>
        <v>45863</v>
      </c>
      <c r="I1214" s="224" t="e">
        <f>_xlfn.XLOOKUP(Table12[[#This Row],[Month Year]],'Modelling New'!D:D,'Modelling New'!N:N)</f>
        <v>#N/A</v>
      </c>
      <c r="J1214" s="178">
        <f>'Raw Data'!K123/J$1</f>
        <v>0</v>
      </c>
      <c r="K1214" s="61">
        <f>'Raw Data'!L123/K$1</f>
        <v>0</v>
      </c>
      <c r="L1214" s="61">
        <f>'Raw Data'!M123/L$1</f>
        <v>0</v>
      </c>
      <c r="M1214" s="61">
        <f>'Raw Data'!N123/M$1</f>
        <v>0</v>
      </c>
      <c r="N1214" s="61">
        <f>'Raw Data'!O123/N$1</f>
        <v>0</v>
      </c>
      <c r="O1214" s="61">
        <f>'Raw Data'!P123/O$1</f>
        <v>0</v>
      </c>
      <c r="P1214" s="61" t="str">
        <f t="shared" si="306"/>
        <v/>
      </c>
      <c r="Q1214" s="61">
        <f t="shared" si="307"/>
        <v>0</v>
      </c>
    </row>
    <row r="1215" spans="1:17">
      <c r="A1215" s="112" t="s">
        <v>1705</v>
      </c>
      <c r="B1215" s="223">
        <v>6</v>
      </c>
      <c r="C1215" s="112">
        <v>2025</v>
      </c>
      <c r="D1215" s="112" t="s">
        <v>213</v>
      </c>
      <c r="E1215" s="112" t="s">
        <v>213</v>
      </c>
      <c r="F1215" s="206">
        <v>46327</v>
      </c>
      <c r="G1215" s="223">
        <f t="shared" si="300"/>
        <v>30</v>
      </c>
      <c r="H1215" s="202">
        <f t="shared" si="305"/>
        <v>45864</v>
      </c>
      <c r="I1215" s="224" t="e">
        <f>_xlfn.XLOOKUP(Table12[[#This Row],[Month Year]],'Modelling New'!D:D,'Modelling New'!N:N)</f>
        <v>#N/A</v>
      </c>
      <c r="J1215" s="178">
        <f>'Raw Data'!K124/J$1</f>
        <v>0</v>
      </c>
      <c r="K1215" s="61">
        <f>'Raw Data'!L124/K$1</f>
        <v>0</v>
      </c>
      <c r="L1215" s="61">
        <f>'Raw Data'!M124/L$1</f>
        <v>0</v>
      </c>
      <c r="M1215" s="61">
        <f>'Raw Data'!N124/M$1</f>
        <v>0</v>
      </c>
      <c r="N1215" s="61">
        <f>'Raw Data'!O124/N$1</f>
        <v>0</v>
      </c>
      <c r="O1215" s="61">
        <f>'Raw Data'!P124/O$1</f>
        <v>0</v>
      </c>
      <c r="P1215" s="61" t="str">
        <f t="shared" si="306"/>
        <v/>
      </c>
      <c r="Q1215" s="61">
        <f t="shared" si="307"/>
        <v>0</v>
      </c>
    </row>
    <row r="1216" spans="1:17">
      <c r="A1216" s="112" t="s">
        <v>1706</v>
      </c>
      <c r="B1216" s="223">
        <v>6</v>
      </c>
      <c r="C1216" s="112">
        <v>2025</v>
      </c>
      <c r="D1216" s="112" t="s">
        <v>213</v>
      </c>
      <c r="E1216" s="112" t="s">
        <v>213</v>
      </c>
      <c r="F1216" s="206">
        <v>46357</v>
      </c>
      <c r="G1216" s="223">
        <f t="shared" si="300"/>
        <v>31</v>
      </c>
      <c r="H1216" s="202">
        <f t="shared" si="305"/>
        <v>45865</v>
      </c>
      <c r="I1216" s="224" t="e">
        <f>_xlfn.XLOOKUP(Table12[[#This Row],[Month Year]],'Modelling New'!D:D,'Modelling New'!N:N)</f>
        <v>#N/A</v>
      </c>
      <c r="J1216" s="178">
        <f>'Raw Data'!K125/J$1</f>
        <v>0</v>
      </c>
      <c r="K1216" s="61">
        <f>'Raw Data'!L125/K$1</f>
        <v>0</v>
      </c>
      <c r="L1216" s="61">
        <f>'Raw Data'!M125/L$1</f>
        <v>0</v>
      </c>
      <c r="M1216" s="61">
        <f>'Raw Data'!N125/M$1</f>
        <v>0</v>
      </c>
      <c r="N1216" s="61">
        <f>'Raw Data'!O125/N$1</f>
        <v>0</v>
      </c>
      <c r="O1216" s="61">
        <f>'Raw Data'!P125/O$1</f>
        <v>0</v>
      </c>
      <c r="P1216" s="61" t="str">
        <f t="shared" si="306"/>
        <v/>
      </c>
      <c r="Q1216" s="61">
        <f t="shared" si="307"/>
        <v>0</v>
      </c>
    </row>
    <row r="1217" spans="1:17">
      <c r="A1217" s="112" t="s">
        <v>1707</v>
      </c>
      <c r="B1217" s="223">
        <v>6</v>
      </c>
      <c r="C1217" s="112">
        <v>2025</v>
      </c>
      <c r="D1217" s="112" t="s">
        <v>213</v>
      </c>
      <c r="E1217" s="112" t="s">
        <v>213</v>
      </c>
      <c r="F1217" s="206">
        <v>46388</v>
      </c>
      <c r="G1217" s="223">
        <f t="shared" si="300"/>
        <v>31</v>
      </c>
      <c r="H1217" s="202">
        <f t="shared" si="305"/>
        <v>45866</v>
      </c>
      <c r="I1217" s="224" t="e">
        <f>_xlfn.XLOOKUP(Table12[[#This Row],[Month Year]],'Modelling New'!D:D,'Modelling New'!N:N)</f>
        <v>#N/A</v>
      </c>
      <c r="J1217" s="178">
        <f>'Raw Data'!K126/J$1</f>
        <v>0</v>
      </c>
      <c r="K1217" s="61">
        <f>'Raw Data'!L126/K$1</f>
        <v>0</v>
      </c>
      <c r="L1217" s="61">
        <f>'Raw Data'!M126/L$1</f>
        <v>0</v>
      </c>
      <c r="M1217" s="61">
        <f>'Raw Data'!N126/M$1</f>
        <v>0</v>
      </c>
      <c r="N1217" s="61">
        <f>'Raw Data'!O126/N$1</f>
        <v>0</v>
      </c>
      <c r="O1217" s="61">
        <f>'Raw Data'!P126/O$1</f>
        <v>0</v>
      </c>
      <c r="P1217" s="61" t="str">
        <f t="shared" si="306"/>
        <v/>
      </c>
      <c r="Q1217" s="61">
        <f t="shared" si="307"/>
        <v>0</v>
      </c>
    </row>
    <row r="1218" spans="1:17">
      <c r="A1218" s="112" t="s">
        <v>1708</v>
      </c>
      <c r="B1218" s="223">
        <v>6</v>
      </c>
      <c r="C1218" s="112">
        <v>2025</v>
      </c>
      <c r="D1218" s="112" t="s">
        <v>213</v>
      </c>
      <c r="E1218" s="112" t="s">
        <v>213</v>
      </c>
      <c r="F1218" s="206">
        <v>46419</v>
      </c>
      <c r="G1218" s="223">
        <f t="shared" si="300"/>
        <v>28</v>
      </c>
      <c r="H1218" s="202">
        <f t="shared" si="305"/>
        <v>45867</v>
      </c>
      <c r="I1218" s="224" t="e">
        <f>_xlfn.XLOOKUP(Table12[[#This Row],[Month Year]],'Modelling New'!D:D,'Modelling New'!N:N)</f>
        <v>#N/A</v>
      </c>
      <c r="J1218" s="178">
        <f>'Raw Data'!K127/J$1</f>
        <v>0</v>
      </c>
      <c r="K1218" s="61">
        <f>'Raw Data'!L127/K$1</f>
        <v>0</v>
      </c>
      <c r="L1218" s="61">
        <f>'Raw Data'!M127/L$1</f>
        <v>0</v>
      </c>
      <c r="M1218" s="61">
        <f>'Raw Data'!N127/M$1</f>
        <v>0</v>
      </c>
      <c r="N1218" s="61">
        <f>'Raw Data'!O127/N$1</f>
        <v>0</v>
      </c>
      <c r="O1218" s="61">
        <f>'Raw Data'!P127/O$1</f>
        <v>0</v>
      </c>
      <c r="P1218" s="61" t="str">
        <f t="shared" si="306"/>
        <v/>
      </c>
      <c r="Q1218" s="61">
        <f t="shared" si="307"/>
        <v>0</v>
      </c>
    </row>
    <row r="1219" spans="1:17">
      <c r="A1219" s="112" t="s">
        <v>1709</v>
      </c>
      <c r="B1219" s="223">
        <v>6</v>
      </c>
      <c r="C1219" s="112">
        <v>2025</v>
      </c>
      <c r="D1219" s="112" t="s">
        <v>213</v>
      </c>
      <c r="E1219" s="112" t="s">
        <v>213</v>
      </c>
      <c r="F1219" s="206">
        <v>46447</v>
      </c>
      <c r="G1219" s="223">
        <f t="shared" si="300"/>
        <v>31</v>
      </c>
      <c r="H1219" s="202">
        <f t="shared" si="305"/>
        <v>45868</v>
      </c>
      <c r="I1219" s="224" t="e">
        <f>_xlfn.XLOOKUP(Table12[[#This Row],[Month Year]],'Modelling New'!D:D,'Modelling New'!N:N)</f>
        <v>#N/A</v>
      </c>
      <c r="J1219" s="178">
        <f>'Raw Data'!K128/J$1</f>
        <v>0</v>
      </c>
      <c r="K1219" s="61">
        <f>'Raw Data'!L128/K$1</f>
        <v>0</v>
      </c>
      <c r="L1219" s="61">
        <f>'Raw Data'!M128/L$1</f>
        <v>0</v>
      </c>
      <c r="M1219" s="61">
        <f>'Raw Data'!N128/M$1</f>
        <v>0</v>
      </c>
      <c r="N1219" s="61">
        <f>'Raw Data'!O128/N$1</f>
        <v>0</v>
      </c>
      <c r="O1219" s="61">
        <f>'Raw Data'!P128/O$1</f>
        <v>0</v>
      </c>
      <c r="P1219" s="61" t="str">
        <f t="shared" si="306"/>
        <v/>
      </c>
      <c r="Q1219" s="61">
        <f t="shared" si="307"/>
        <v>0</v>
      </c>
    </row>
    <row r="1220" spans="1:17">
      <c r="A1220" s="112" t="s">
        <v>1710</v>
      </c>
      <c r="B1220" s="223">
        <v>6</v>
      </c>
      <c r="C1220" s="112">
        <v>2025</v>
      </c>
      <c r="D1220" s="112" t="s">
        <v>213</v>
      </c>
      <c r="E1220" s="112" t="s">
        <v>213</v>
      </c>
      <c r="F1220" s="206">
        <v>46478</v>
      </c>
      <c r="G1220" s="223">
        <f t="shared" si="300"/>
        <v>30</v>
      </c>
      <c r="H1220" s="202">
        <f t="shared" si="305"/>
        <v>45869</v>
      </c>
      <c r="I1220" s="224" t="e">
        <f>_xlfn.XLOOKUP(Table12[[#This Row],[Month Year]],'Modelling New'!D:D,'Modelling New'!N:N)</f>
        <v>#N/A</v>
      </c>
      <c r="J1220" s="178">
        <f>'Raw Data'!K129/J$1</f>
        <v>0</v>
      </c>
      <c r="K1220" s="61">
        <f>'Raw Data'!L129/K$1</f>
        <v>0</v>
      </c>
      <c r="L1220" s="61">
        <f>'Raw Data'!M129/L$1</f>
        <v>0</v>
      </c>
      <c r="M1220" s="61">
        <f>'Raw Data'!N129/M$1</f>
        <v>0</v>
      </c>
      <c r="N1220" s="61">
        <f>'Raw Data'!O129/N$1</f>
        <v>0</v>
      </c>
      <c r="O1220" s="61">
        <f>'Raw Data'!P129/O$1</f>
        <v>0</v>
      </c>
      <c r="P1220" s="61" t="str">
        <f t="shared" si="306"/>
        <v/>
      </c>
      <c r="Q1220" s="61">
        <f t="shared" si="307"/>
        <v>0</v>
      </c>
    </row>
    <row r="1221" spans="1:17">
      <c r="A1221" s="112" t="s">
        <v>1711</v>
      </c>
      <c r="B1221" s="223">
        <v>6</v>
      </c>
      <c r="C1221" s="112">
        <v>2025</v>
      </c>
      <c r="D1221" s="112" t="s">
        <v>213</v>
      </c>
      <c r="E1221" s="112" t="s">
        <v>213</v>
      </c>
      <c r="F1221" s="206">
        <v>46508</v>
      </c>
      <c r="G1221" s="223">
        <f t="shared" si="300"/>
        <v>31</v>
      </c>
      <c r="H1221" s="202">
        <f t="shared" si="305"/>
        <v>45870</v>
      </c>
      <c r="I1221" s="224" t="e">
        <f>_xlfn.XLOOKUP(Table12[[#This Row],[Month Year]],'Modelling New'!D:D,'Modelling New'!N:N)</f>
        <v>#N/A</v>
      </c>
      <c r="J1221" s="178">
        <f>'Raw Data'!K130/J$1</f>
        <v>0</v>
      </c>
      <c r="K1221" s="61">
        <f>'Raw Data'!L130/K$1</f>
        <v>0</v>
      </c>
      <c r="L1221" s="61">
        <f>'Raw Data'!M130/L$1</f>
        <v>0</v>
      </c>
      <c r="M1221" s="61">
        <f>'Raw Data'!N130/M$1</f>
        <v>0</v>
      </c>
      <c r="N1221" s="61">
        <f>'Raw Data'!O130/N$1</f>
        <v>0</v>
      </c>
      <c r="O1221" s="61">
        <f>'Raw Data'!P130/O$1</f>
        <v>0</v>
      </c>
      <c r="P1221" s="61" t="str">
        <f t="shared" si="306"/>
        <v/>
      </c>
      <c r="Q1221" s="61">
        <f t="shared" si="307"/>
        <v>0</v>
      </c>
    </row>
    <row r="1222" spans="1:17">
      <c r="A1222" s="112" t="s">
        <v>1712</v>
      </c>
      <c r="B1222" s="223">
        <v>6</v>
      </c>
      <c r="C1222" s="112">
        <v>2025</v>
      </c>
      <c r="D1222" s="112" t="s">
        <v>213</v>
      </c>
      <c r="E1222" s="112" t="s">
        <v>213</v>
      </c>
      <c r="F1222" s="206">
        <v>46539</v>
      </c>
      <c r="G1222" s="223">
        <f t="shared" si="300"/>
        <v>30</v>
      </c>
      <c r="H1222" s="202">
        <f t="shared" si="305"/>
        <v>45871</v>
      </c>
      <c r="I1222" s="224" t="e">
        <f>_xlfn.XLOOKUP(Table12[[#This Row],[Month Year]],'Modelling New'!D:D,'Modelling New'!N:N)</f>
        <v>#N/A</v>
      </c>
      <c r="J1222" s="178">
        <f>'Raw Data'!K131/J$1</f>
        <v>0</v>
      </c>
      <c r="K1222" s="61">
        <f>'Raw Data'!L131/K$1</f>
        <v>0</v>
      </c>
      <c r="L1222" s="61">
        <f>'Raw Data'!M131/L$1</f>
        <v>0</v>
      </c>
      <c r="M1222" s="61">
        <f>'Raw Data'!N131/M$1</f>
        <v>0</v>
      </c>
      <c r="N1222" s="61">
        <f>'Raw Data'!O131/N$1</f>
        <v>0</v>
      </c>
      <c r="O1222" s="61">
        <f>'Raw Data'!P131/O$1</f>
        <v>0</v>
      </c>
      <c r="P1222" s="61" t="str">
        <f t="shared" si="306"/>
        <v/>
      </c>
      <c r="Q1222" s="61">
        <f t="shared" si="307"/>
        <v>0</v>
      </c>
    </row>
    <row r="1223" spans="1:17">
      <c r="A1223" s="112" t="s">
        <v>1713</v>
      </c>
      <c r="B1223" s="223">
        <v>6</v>
      </c>
      <c r="C1223" s="112">
        <v>2025</v>
      </c>
      <c r="D1223" s="112" t="s">
        <v>213</v>
      </c>
      <c r="E1223" s="112" t="s">
        <v>213</v>
      </c>
      <c r="F1223" s="206">
        <v>46569</v>
      </c>
      <c r="G1223" s="223">
        <f t="shared" si="300"/>
        <v>31</v>
      </c>
      <c r="H1223" s="202">
        <f t="shared" si="305"/>
        <v>45872</v>
      </c>
      <c r="I1223" s="224" t="e">
        <f>_xlfn.XLOOKUP(Table12[[#This Row],[Month Year]],'Modelling New'!D:D,'Modelling New'!N:N)</f>
        <v>#N/A</v>
      </c>
      <c r="J1223" s="178">
        <f>'Raw Data'!K132/J$1</f>
        <v>0</v>
      </c>
      <c r="K1223" s="61">
        <f>'Raw Data'!L132/K$1</f>
        <v>0</v>
      </c>
      <c r="L1223" s="61">
        <f>'Raw Data'!M132/L$1</f>
        <v>0</v>
      </c>
      <c r="M1223" s="61">
        <f>'Raw Data'!N132/M$1</f>
        <v>0</v>
      </c>
      <c r="N1223" s="61">
        <f>'Raw Data'!O132/N$1</f>
        <v>0</v>
      </c>
      <c r="O1223" s="61">
        <f>'Raw Data'!P132/O$1</f>
        <v>0</v>
      </c>
      <c r="P1223" s="61" t="str">
        <f t="shared" si="306"/>
        <v/>
      </c>
      <c r="Q1223" s="61">
        <f t="shared" si="307"/>
        <v>0</v>
      </c>
    </row>
    <row r="1224" spans="1:17">
      <c r="A1224" s="112" t="s">
        <v>1714</v>
      </c>
      <c r="B1224" s="223">
        <v>6</v>
      </c>
      <c r="C1224" s="112">
        <v>2025</v>
      </c>
      <c r="D1224" s="112" t="s">
        <v>213</v>
      </c>
      <c r="E1224" s="112" t="s">
        <v>213</v>
      </c>
      <c r="F1224" s="206">
        <v>46600</v>
      </c>
      <c r="G1224" s="223">
        <f t="shared" si="300"/>
        <v>31</v>
      </c>
      <c r="H1224" s="202">
        <f t="shared" si="305"/>
        <v>45873</v>
      </c>
      <c r="I1224" s="224" t="e">
        <f>_xlfn.XLOOKUP(Table12[[#This Row],[Month Year]],'Modelling New'!D:D,'Modelling New'!N:N)</f>
        <v>#N/A</v>
      </c>
      <c r="J1224" s="178">
        <f>'Raw Data'!K133/J$1</f>
        <v>0</v>
      </c>
      <c r="K1224" s="61">
        <f>'Raw Data'!L133/K$1</f>
        <v>0</v>
      </c>
      <c r="L1224" s="61">
        <f>'Raw Data'!M133/L$1</f>
        <v>0</v>
      </c>
      <c r="M1224" s="61">
        <f>'Raw Data'!N133/M$1</f>
        <v>0</v>
      </c>
      <c r="N1224" s="61">
        <f>'Raw Data'!O133/N$1</f>
        <v>0</v>
      </c>
      <c r="O1224" s="61">
        <f>'Raw Data'!P133/O$1</f>
        <v>0</v>
      </c>
      <c r="P1224" s="61" t="str">
        <f t="shared" si="306"/>
        <v/>
      </c>
      <c r="Q1224" s="61">
        <f t="shared" si="307"/>
        <v>0</v>
      </c>
    </row>
    <row r="1225" spans="1:17">
      <c r="A1225" s="112" t="s">
        <v>1715</v>
      </c>
      <c r="B1225" s="223">
        <v>6</v>
      </c>
      <c r="C1225" s="112">
        <v>2025</v>
      </c>
      <c r="D1225" s="112" t="s">
        <v>213</v>
      </c>
      <c r="E1225" s="112" t="s">
        <v>213</v>
      </c>
      <c r="F1225" s="206">
        <v>46631</v>
      </c>
      <c r="G1225" s="223">
        <f t="shared" si="300"/>
        <v>30</v>
      </c>
      <c r="H1225" s="202">
        <f t="shared" si="305"/>
        <v>45874</v>
      </c>
      <c r="I1225" s="224" t="e">
        <f>_xlfn.XLOOKUP(Table12[[#This Row],[Month Year]],'Modelling New'!D:D,'Modelling New'!N:N)</f>
        <v>#N/A</v>
      </c>
      <c r="J1225" s="178">
        <f>'Raw Data'!K134/J$1</f>
        <v>0</v>
      </c>
      <c r="K1225" s="61">
        <f>'Raw Data'!L134/K$1</f>
        <v>0</v>
      </c>
      <c r="L1225" s="61">
        <f>'Raw Data'!M134/L$1</f>
        <v>0</v>
      </c>
      <c r="M1225" s="61">
        <f>'Raw Data'!N134/M$1</f>
        <v>0</v>
      </c>
      <c r="N1225" s="61">
        <f>'Raw Data'!O134/N$1</f>
        <v>0</v>
      </c>
      <c r="O1225" s="61">
        <f>'Raw Data'!P134/O$1</f>
        <v>0</v>
      </c>
      <c r="P1225" s="61" t="str">
        <f t="shared" si="306"/>
        <v/>
      </c>
      <c r="Q1225" s="61">
        <f t="shared" si="307"/>
        <v>0</v>
      </c>
    </row>
    <row r="1226" spans="1:17">
      <c r="A1226" s="112" t="s">
        <v>1716</v>
      </c>
      <c r="B1226" s="223">
        <v>6</v>
      </c>
      <c r="C1226" s="112">
        <v>2025</v>
      </c>
      <c r="D1226" s="112" t="s">
        <v>213</v>
      </c>
      <c r="E1226" s="112" t="s">
        <v>213</v>
      </c>
      <c r="F1226" s="206">
        <v>46661</v>
      </c>
      <c r="G1226" s="223">
        <f t="shared" si="300"/>
        <v>31</v>
      </c>
      <c r="H1226" s="202">
        <f t="shared" si="305"/>
        <v>45875</v>
      </c>
      <c r="I1226" s="224" t="e">
        <f>_xlfn.XLOOKUP(Table12[[#This Row],[Month Year]],'Modelling New'!D:D,'Modelling New'!N:N)</f>
        <v>#N/A</v>
      </c>
      <c r="J1226" s="178">
        <f>'Raw Data'!K135/J$1</f>
        <v>0</v>
      </c>
      <c r="K1226" s="61">
        <f>'Raw Data'!L135/K$1</f>
        <v>0</v>
      </c>
      <c r="L1226" s="61">
        <f>'Raw Data'!M135/L$1</f>
        <v>0</v>
      </c>
      <c r="M1226" s="61">
        <f>'Raw Data'!N135/M$1</f>
        <v>0</v>
      </c>
      <c r="N1226" s="61">
        <f>'Raw Data'!O135/N$1</f>
        <v>0</v>
      </c>
      <c r="O1226" s="61">
        <f>'Raw Data'!P135/O$1</f>
        <v>0</v>
      </c>
      <c r="P1226" s="61" t="str">
        <f t="shared" si="306"/>
        <v/>
      </c>
      <c r="Q1226" s="61">
        <f t="shared" si="307"/>
        <v>0</v>
      </c>
    </row>
    <row r="1227" spans="1:17">
      <c r="A1227" s="112" t="s">
        <v>1717</v>
      </c>
      <c r="B1227" s="223">
        <v>6</v>
      </c>
      <c r="C1227" s="112">
        <v>2025</v>
      </c>
      <c r="D1227" s="112" t="s">
        <v>213</v>
      </c>
      <c r="E1227" s="112" t="s">
        <v>213</v>
      </c>
      <c r="F1227" s="206">
        <v>46692</v>
      </c>
      <c r="G1227" s="223">
        <f t="shared" ref="G1227:G1237" si="308">DAY(EOMONTH(F1227,0))</f>
        <v>30</v>
      </c>
      <c r="H1227" s="202">
        <f t="shared" si="305"/>
        <v>45876</v>
      </c>
      <c r="I1227" s="224" t="e">
        <f>_xlfn.XLOOKUP(Table12[[#This Row],[Month Year]],'Modelling New'!D:D,'Modelling New'!N:N)</f>
        <v>#N/A</v>
      </c>
      <c r="J1227" s="178">
        <f>'Raw Data'!K136/J$1</f>
        <v>0</v>
      </c>
      <c r="K1227" s="61">
        <f>'Raw Data'!L136/K$1</f>
        <v>0</v>
      </c>
      <c r="L1227" s="61">
        <f>'Raw Data'!M136/L$1</f>
        <v>0</v>
      </c>
      <c r="M1227" s="61">
        <f>'Raw Data'!N136/M$1</f>
        <v>0</v>
      </c>
      <c r="N1227" s="61">
        <f>'Raw Data'!O136/N$1</f>
        <v>0</v>
      </c>
      <c r="O1227" s="61">
        <f>'Raw Data'!P136/O$1</f>
        <v>0</v>
      </c>
      <c r="P1227" s="61" t="str">
        <f t="shared" si="306"/>
        <v/>
      </c>
      <c r="Q1227" s="61">
        <f t="shared" si="307"/>
        <v>0</v>
      </c>
    </row>
    <row r="1228" spans="1:17">
      <c r="A1228" s="112" t="s">
        <v>1718</v>
      </c>
      <c r="B1228" s="223">
        <v>6</v>
      </c>
      <c r="C1228" s="112">
        <v>2025</v>
      </c>
      <c r="D1228" s="112" t="s">
        <v>213</v>
      </c>
      <c r="E1228" s="112" t="s">
        <v>213</v>
      </c>
      <c r="F1228" s="206">
        <v>46722</v>
      </c>
      <c r="G1228" s="223">
        <f t="shared" si="308"/>
        <v>31</v>
      </c>
      <c r="H1228" s="202">
        <f t="shared" si="305"/>
        <v>45877</v>
      </c>
      <c r="I1228" s="224" t="e">
        <f>_xlfn.XLOOKUP(Table12[[#This Row],[Month Year]],'Modelling New'!D:D,'Modelling New'!N:N)</f>
        <v>#N/A</v>
      </c>
      <c r="J1228" s="178">
        <f>'Raw Data'!K137/J$1</f>
        <v>0</v>
      </c>
      <c r="K1228" s="61">
        <f>'Raw Data'!L137/K$1</f>
        <v>0</v>
      </c>
      <c r="L1228" s="61">
        <f>'Raw Data'!M137/L$1</f>
        <v>0</v>
      </c>
      <c r="M1228" s="61">
        <f>'Raw Data'!N137/M$1</f>
        <v>0</v>
      </c>
      <c r="N1228" s="61">
        <f>'Raw Data'!O137/N$1</f>
        <v>0</v>
      </c>
      <c r="O1228" s="61">
        <f>'Raw Data'!P137/O$1</f>
        <v>0</v>
      </c>
      <c r="P1228" s="61" t="str">
        <f t="shared" si="306"/>
        <v/>
      </c>
      <c r="Q1228" s="61">
        <f t="shared" si="307"/>
        <v>0</v>
      </c>
    </row>
    <row r="1229" spans="1:17">
      <c r="A1229" s="112" t="s">
        <v>1719</v>
      </c>
      <c r="B1229" s="223">
        <v>6</v>
      </c>
      <c r="C1229" s="112">
        <v>2025</v>
      </c>
      <c r="D1229" s="112" t="s">
        <v>213</v>
      </c>
      <c r="E1229" s="112" t="s">
        <v>213</v>
      </c>
      <c r="F1229" s="206">
        <v>46753</v>
      </c>
      <c r="G1229" s="223">
        <f t="shared" si="308"/>
        <v>31</v>
      </c>
      <c r="H1229" s="202">
        <f t="shared" si="305"/>
        <v>45878</v>
      </c>
      <c r="I1229" s="224" t="e">
        <f>_xlfn.XLOOKUP(Table12[[#This Row],[Month Year]],'Modelling New'!D:D,'Modelling New'!N:N)</f>
        <v>#N/A</v>
      </c>
      <c r="J1229" s="178">
        <f>'Raw Data'!K138/J$1</f>
        <v>0</v>
      </c>
      <c r="K1229" s="61">
        <f>'Raw Data'!L138/K$1</f>
        <v>0</v>
      </c>
      <c r="L1229" s="61">
        <f>'Raw Data'!M138/L$1</f>
        <v>0</v>
      </c>
      <c r="M1229" s="61">
        <f>'Raw Data'!N138/M$1</f>
        <v>0</v>
      </c>
      <c r="N1229" s="61">
        <f>'Raw Data'!O138/N$1</f>
        <v>0</v>
      </c>
      <c r="O1229" s="61">
        <f>'Raw Data'!P138/O$1</f>
        <v>0</v>
      </c>
      <c r="P1229" s="61" t="str">
        <f t="shared" si="306"/>
        <v/>
      </c>
      <c r="Q1229" s="61">
        <f t="shared" si="307"/>
        <v>0</v>
      </c>
    </row>
    <row r="1230" spans="1:17">
      <c r="A1230" s="112" t="s">
        <v>1720</v>
      </c>
      <c r="B1230" s="223">
        <v>6</v>
      </c>
      <c r="C1230" s="112">
        <v>2025</v>
      </c>
      <c r="D1230" s="112" t="s">
        <v>213</v>
      </c>
      <c r="E1230" s="112" t="s">
        <v>213</v>
      </c>
      <c r="F1230" s="206">
        <v>46784</v>
      </c>
      <c r="G1230" s="223">
        <f t="shared" si="308"/>
        <v>29</v>
      </c>
      <c r="H1230" s="202">
        <f t="shared" si="305"/>
        <v>45879</v>
      </c>
      <c r="I1230" s="224" t="e">
        <f>_xlfn.XLOOKUP(Table12[[#This Row],[Month Year]],'Modelling New'!D:D,'Modelling New'!N:N)</f>
        <v>#N/A</v>
      </c>
      <c r="J1230" s="178">
        <f>'Raw Data'!K139/J$1</f>
        <v>0</v>
      </c>
      <c r="K1230" s="61">
        <f>'Raw Data'!L139/K$1</f>
        <v>0</v>
      </c>
      <c r="L1230" s="61">
        <f>'Raw Data'!M139/L$1</f>
        <v>0</v>
      </c>
      <c r="M1230" s="61">
        <f>'Raw Data'!N139/M$1</f>
        <v>0</v>
      </c>
      <c r="N1230" s="61">
        <f>'Raw Data'!O139/N$1</f>
        <v>0</v>
      </c>
      <c r="O1230" s="61">
        <f>'Raw Data'!P139/O$1</f>
        <v>0</v>
      </c>
      <c r="P1230" s="61" t="str">
        <f t="shared" si="306"/>
        <v/>
      </c>
      <c r="Q1230" s="61">
        <f t="shared" si="307"/>
        <v>0</v>
      </c>
    </row>
    <row r="1231" spans="1:17">
      <c r="A1231" s="112" t="s">
        <v>1721</v>
      </c>
      <c r="B1231" s="223">
        <v>6</v>
      </c>
      <c r="C1231" s="112">
        <v>2025</v>
      </c>
      <c r="D1231" s="112" t="s">
        <v>213</v>
      </c>
      <c r="E1231" s="112" t="s">
        <v>213</v>
      </c>
      <c r="F1231" s="206">
        <v>46813</v>
      </c>
      <c r="G1231" s="223">
        <f t="shared" si="308"/>
        <v>31</v>
      </c>
      <c r="H1231" s="202">
        <f t="shared" si="305"/>
        <v>45880</v>
      </c>
      <c r="I1231" s="224" t="e">
        <f>_xlfn.XLOOKUP(Table12[[#This Row],[Month Year]],'Modelling New'!D:D,'Modelling New'!N:N)</f>
        <v>#N/A</v>
      </c>
      <c r="J1231" s="178">
        <f>'Raw Data'!K140/J$1</f>
        <v>0</v>
      </c>
      <c r="K1231" s="61">
        <f>'Raw Data'!L140/K$1</f>
        <v>0</v>
      </c>
      <c r="L1231" s="61">
        <f>'Raw Data'!M140/L$1</f>
        <v>0</v>
      </c>
      <c r="M1231" s="61">
        <f>'Raw Data'!N140/M$1</f>
        <v>0</v>
      </c>
      <c r="N1231" s="61">
        <f>'Raw Data'!O140/N$1</f>
        <v>0</v>
      </c>
      <c r="O1231" s="61">
        <f>'Raw Data'!P140/O$1</f>
        <v>0</v>
      </c>
      <c r="P1231" s="61" t="str">
        <f t="shared" si="306"/>
        <v/>
      </c>
      <c r="Q1231" s="61">
        <f t="shared" si="307"/>
        <v>0</v>
      </c>
    </row>
    <row r="1232" spans="1:17">
      <c r="A1232" s="112" t="s">
        <v>1722</v>
      </c>
      <c r="B1232" s="223">
        <v>6</v>
      </c>
      <c r="C1232" s="112">
        <v>2025</v>
      </c>
      <c r="D1232" s="112" t="s">
        <v>213</v>
      </c>
      <c r="E1232" s="112" t="s">
        <v>213</v>
      </c>
      <c r="F1232" s="206">
        <v>46844</v>
      </c>
      <c r="G1232" s="223">
        <f t="shared" si="308"/>
        <v>30</v>
      </c>
      <c r="H1232" s="202">
        <f t="shared" si="305"/>
        <v>45881</v>
      </c>
      <c r="I1232" s="224" t="e">
        <f>_xlfn.XLOOKUP(Table12[[#This Row],[Month Year]],'Modelling New'!D:D,'Modelling New'!N:N)</f>
        <v>#N/A</v>
      </c>
      <c r="J1232" s="178">
        <f>'Raw Data'!K141/J$1</f>
        <v>0</v>
      </c>
      <c r="K1232" s="61">
        <f>'Raw Data'!L141/K$1</f>
        <v>0</v>
      </c>
      <c r="L1232" s="61">
        <f>'Raw Data'!M141/L$1</f>
        <v>0</v>
      </c>
      <c r="M1232" s="61">
        <f>'Raw Data'!N141/M$1</f>
        <v>0</v>
      </c>
      <c r="N1232" s="61">
        <f>'Raw Data'!O141/N$1</f>
        <v>0</v>
      </c>
      <c r="O1232" s="61">
        <f>'Raw Data'!P141/O$1</f>
        <v>0</v>
      </c>
      <c r="P1232" s="61" t="str">
        <f t="shared" si="306"/>
        <v/>
      </c>
      <c r="Q1232" s="61">
        <f t="shared" si="307"/>
        <v>0</v>
      </c>
    </row>
    <row r="1233" spans="1:17">
      <c r="A1233" s="112" t="s">
        <v>1723</v>
      </c>
      <c r="B1233" s="223">
        <v>6</v>
      </c>
      <c r="C1233" s="112">
        <v>2025</v>
      </c>
      <c r="D1233" s="112" t="s">
        <v>213</v>
      </c>
      <c r="E1233" s="112" t="s">
        <v>213</v>
      </c>
      <c r="F1233" s="206">
        <v>46874</v>
      </c>
      <c r="G1233" s="223">
        <f t="shared" si="308"/>
        <v>31</v>
      </c>
      <c r="H1233" s="202">
        <f t="shared" si="305"/>
        <v>45882</v>
      </c>
      <c r="I1233" s="224" t="e">
        <f>_xlfn.XLOOKUP(Table12[[#This Row],[Month Year]],'Modelling New'!D:D,'Modelling New'!N:N)</f>
        <v>#N/A</v>
      </c>
      <c r="J1233" s="178">
        <f>'Raw Data'!K142/J$1</f>
        <v>0</v>
      </c>
      <c r="K1233" s="61">
        <f>'Raw Data'!L142/K$1</f>
        <v>0</v>
      </c>
      <c r="L1233" s="61">
        <f>'Raw Data'!M142/L$1</f>
        <v>0</v>
      </c>
      <c r="M1233" s="61">
        <f>'Raw Data'!N142/M$1</f>
        <v>0</v>
      </c>
      <c r="N1233" s="61">
        <f>'Raw Data'!O142/N$1</f>
        <v>0</v>
      </c>
      <c r="O1233" s="61">
        <f>'Raw Data'!P142/O$1</f>
        <v>0</v>
      </c>
      <c r="P1233" s="61" t="str">
        <f t="shared" si="306"/>
        <v/>
      </c>
      <c r="Q1233" s="61">
        <f t="shared" si="307"/>
        <v>0</v>
      </c>
    </row>
    <row r="1234" spans="1:17">
      <c r="A1234" s="112" t="s">
        <v>1724</v>
      </c>
      <c r="B1234" s="223">
        <v>6</v>
      </c>
      <c r="C1234" s="112">
        <v>2025</v>
      </c>
      <c r="D1234" s="112" t="s">
        <v>213</v>
      </c>
      <c r="E1234" s="112" t="s">
        <v>213</v>
      </c>
      <c r="F1234" s="206">
        <v>46905</v>
      </c>
      <c r="G1234" s="223">
        <f t="shared" si="308"/>
        <v>30</v>
      </c>
      <c r="H1234" s="202">
        <f t="shared" si="305"/>
        <v>45883</v>
      </c>
      <c r="I1234" s="224" t="e">
        <f>_xlfn.XLOOKUP(Table12[[#This Row],[Month Year]],'Modelling New'!D:D,'Modelling New'!N:N)</f>
        <v>#N/A</v>
      </c>
      <c r="J1234" s="178">
        <f>'Raw Data'!K143/J$1</f>
        <v>0</v>
      </c>
      <c r="K1234" s="61">
        <f>'Raw Data'!L143/K$1</f>
        <v>0</v>
      </c>
      <c r="L1234" s="61">
        <f>'Raw Data'!M143/L$1</f>
        <v>0</v>
      </c>
      <c r="M1234" s="61">
        <f>'Raw Data'!N143/M$1</f>
        <v>0</v>
      </c>
      <c r="N1234" s="61">
        <f>'Raw Data'!O143/N$1</f>
        <v>0</v>
      </c>
      <c r="O1234" s="61">
        <f>'Raw Data'!P143/O$1</f>
        <v>0</v>
      </c>
      <c r="P1234" s="61" t="str">
        <f t="shared" si="306"/>
        <v/>
      </c>
      <c r="Q1234" s="61">
        <f t="shared" si="307"/>
        <v>0</v>
      </c>
    </row>
    <row r="1235" spans="1:17">
      <c r="A1235" s="112" t="s">
        <v>1725</v>
      </c>
      <c r="B1235" s="223">
        <v>6</v>
      </c>
      <c r="C1235" s="112">
        <v>2025</v>
      </c>
      <c r="D1235" s="112" t="s">
        <v>213</v>
      </c>
      <c r="E1235" s="112" t="s">
        <v>213</v>
      </c>
      <c r="F1235" s="206">
        <v>46935</v>
      </c>
      <c r="G1235" s="223">
        <f t="shared" si="308"/>
        <v>31</v>
      </c>
      <c r="H1235" s="202">
        <f t="shared" si="305"/>
        <v>45884</v>
      </c>
      <c r="I1235" s="224" t="e">
        <f>_xlfn.XLOOKUP(Table12[[#This Row],[Month Year]],'Modelling New'!D:D,'Modelling New'!N:N)</f>
        <v>#N/A</v>
      </c>
      <c r="J1235" s="178">
        <f>'Raw Data'!K144/J$1</f>
        <v>0</v>
      </c>
      <c r="K1235" s="61">
        <f>'Raw Data'!L144/K$1</f>
        <v>0</v>
      </c>
      <c r="L1235" s="61">
        <f>'Raw Data'!M144/L$1</f>
        <v>0</v>
      </c>
      <c r="M1235" s="61">
        <f>'Raw Data'!N144/M$1</f>
        <v>0</v>
      </c>
      <c r="N1235" s="61">
        <f>'Raw Data'!O144/N$1</f>
        <v>0</v>
      </c>
      <c r="O1235" s="61">
        <f>'Raw Data'!P144/O$1</f>
        <v>0</v>
      </c>
      <c r="P1235" s="61" t="str">
        <f t="shared" si="306"/>
        <v/>
      </c>
      <c r="Q1235" s="61">
        <f t="shared" si="307"/>
        <v>0</v>
      </c>
    </row>
    <row r="1236" spans="1:17">
      <c r="A1236" s="112" t="s">
        <v>1726</v>
      </c>
      <c r="B1236" s="223">
        <v>6</v>
      </c>
      <c r="C1236" s="112">
        <v>2025</v>
      </c>
      <c r="D1236" s="112" t="s">
        <v>213</v>
      </c>
      <c r="E1236" s="112" t="s">
        <v>213</v>
      </c>
      <c r="F1236" s="206">
        <v>46966</v>
      </c>
      <c r="G1236" s="223">
        <f t="shared" si="308"/>
        <v>31</v>
      </c>
      <c r="H1236" s="202">
        <f t="shared" si="305"/>
        <v>45885</v>
      </c>
      <c r="I1236" s="224" t="e">
        <f>_xlfn.XLOOKUP(Table12[[#This Row],[Month Year]],'Modelling New'!D:D,'Modelling New'!N:N)</f>
        <v>#N/A</v>
      </c>
      <c r="J1236" s="178">
        <f>'Raw Data'!K145/J$1</f>
        <v>0</v>
      </c>
      <c r="K1236" s="61">
        <f>'Raw Data'!L145/K$1</f>
        <v>0</v>
      </c>
      <c r="L1236" s="61">
        <f>'Raw Data'!M145/L$1</f>
        <v>0</v>
      </c>
      <c r="M1236" s="61">
        <f>'Raw Data'!N145/M$1</f>
        <v>0</v>
      </c>
      <c r="N1236" s="61">
        <f>'Raw Data'!O145/N$1</f>
        <v>0</v>
      </c>
      <c r="O1236" s="61">
        <f>'Raw Data'!P145/O$1</f>
        <v>0</v>
      </c>
      <c r="P1236" s="61" t="str">
        <f t="shared" si="306"/>
        <v/>
      </c>
      <c r="Q1236" s="61">
        <f t="shared" si="307"/>
        <v>0</v>
      </c>
    </row>
    <row r="1237" spans="1:17">
      <c r="A1237" s="112" t="s">
        <v>1727</v>
      </c>
      <c r="B1237" s="223">
        <v>6</v>
      </c>
      <c r="C1237" s="112">
        <v>2025</v>
      </c>
      <c r="D1237" s="112" t="s">
        <v>213</v>
      </c>
      <c r="E1237" s="112" t="s">
        <v>213</v>
      </c>
      <c r="F1237" s="206">
        <v>46997</v>
      </c>
      <c r="G1237" s="223">
        <f t="shared" si="308"/>
        <v>30</v>
      </c>
      <c r="H1237" s="202">
        <f t="shared" si="305"/>
        <v>45886</v>
      </c>
      <c r="I1237" s="224" t="e">
        <f>_xlfn.XLOOKUP(Table12[[#This Row],[Month Year]],'Modelling New'!D:D,'Modelling New'!N:N)</f>
        <v>#N/A</v>
      </c>
      <c r="J1237" s="178">
        <f>'Raw Data'!K146/J$1</f>
        <v>0</v>
      </c>
      <c r="K1237" s="61">
        <f>'Raw Data'!L146/K$1</f>
        <v>0</v>
      </c>
      <c r="L1237" s="61">
        <f>'Raw Data'!M146/L$1</f>
        <v>0</v>
      </c>
      <c r="M1237" s="61">
        <f>'Raw Data'!N146/M$1</f>
        <v>0</v>
      </c>
      <c r="N1237" s="61">
        <f>'Raw Data'!O146/N$1</f>
        <v>0</v>
      </c>
      <c r="O1237" s="61">
        <f>'Raw Data'!P146/O$1</f>
        <v>0</v>
      </c>
      <c r="P1237" s="61" t="str">
        <f t="shared" si="306"/>
        <v/>
      </c>
      <c r="Q1237" s="61">
        <f t="shared" si="307"/>
        <v>0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208"/>
  <sheetViews>
    <sheetView tabSelected="1" workbookViewId="0">
      <pane xSplit="8" ySplit="1" topLeftCell="I1193" activePane="bottomRight" state="frozen"/>
      <selection activeCell="I9" sqref="I9"/>
      <selection pane="topRight" activeCell="I9" sqref="I9"/>
      <selection pane="bottomLeft" activeCell="I9" sqref="I9"/>
      <selection pane="bottomRight" activeCell="M1212" sqref="M1212"/>
    </sheetView>
  </sheetViews>
  <sheetFormatPr defaultColWidth="9" defaultRowHeight="14.4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" customWidth="1"/>
    <col min="8" max="8" width="10.44140625" customWidth="1"/>
    <col min="9" max="9" width="9" customWidth="1"/>
    <col min="10" max="10" width="9.44140625" customWidth="1"/>
    <col min="11" max="11" width="7.5546875" customWidth="1"/>
    <col min="12" max="15" width="8.88671875" customWidth="1"/>
    <col min="16" max="16" width="8.44140625" customWidth="1"/>
    <col min="17" max="21" width="9.441406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4">
        <v>6</v>
      </c>
      <c r="C1159" s="234">
        <v>2025</v>
      </c>
      <c r="D1159" s="102" t="s">
        <v>211</v>
      </c>
      <c r="E1159" s="102" t="s">
        <v>211</v>
      </c>
      <c r="F1159" s="103">
        <v>45809</v>
      </c>
      <c r="G1159" s="234">
        <f>DAY(EOMONTH(F1159,0))</f>
        <v>30</v>
      </c>
      <c r="H1159" s="235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4">
        <v>6</v>
      </c>
      <c r="C1160" s="234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5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4">
        <v>6</v>
      </c>
      <c r="C1161" s="234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5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4">
        <v>6</v>
      </c>
      <c r="C1162" s="234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5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4">
        <v>6</v>
      </c>
      <c r="C1163" s="234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5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4">
        <v>6</v>
      </c>
      <c r="C1164" s="234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5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4">
        <v>6</v>
      </c>
      <c r="C1165" s="234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5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4">
        <v>6</v>
      </c>
      <c r="C1166" s="234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5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4">
        <v>6</v>
      </c>
      <c r="C1167" s="234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5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4">
        <v>6</v>
      </c>
      <c r="C1168" s="234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5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4">
        <v>6</v>
      </c>
      <c r="C1169" s="234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5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4">
        <v>6</v>
      </c>
      <c r="C1170" s="234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5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4">
        <v>6</v>
      </c>
      <c r="C1171" s="234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5">
        <f t="shared" si="50"/>
        <v>45821</v>
      </c>
      <c r="I1171" s="157">
        <f>_xlfn.XLOOKUP(Table5[[#This Row],[Month Year]],'Modelling New'!D:D,'Modelling New'!N:N)</f>
        <v>10.507</v>
      </c>
      <c r="J1171" s="232">
        <f>IFERROR(Inv_SY!J1172/Inv_SY!$P1172-1,"")</f>
        <v>1.2386264330594754E-2</v>
      </c>
      <c r="K1171" s="232">
        <f>IFERROR(Inv_SY!K1172/Inv_SY!$P1172-1,"")</f>
        <v>1.2909436945749642E-2</v>
      </c>
      <c r="L1171" s="232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4">
        <v>6</v>
      </c>
      <c r="C1172" s="234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5">
        <f t="shared" si="50"/>
        <v>45822</v>
      </c>
      <c r="I1172" s="157">
        <f>_xlfn.XLOOKUP(Table5[[#This Row],[Month Year]],'Modelling New'!D:D,'Modelling New'!N:N)</f>
        <v>10.507</v>
      </c>
      <c r="J1172" s="232">
        <f>IFERROR(Inv_SY!J1173/Inv_SY!$P1173-1,"")</f>
        <v>-9.4760458757443544E-3</v>
      </c>
      <c r="K1172" s="232">
        <f>IFERROR(Inv_SY!K1173/Inv_SY!$P1173-1,"")</f>
        <v>8.5674849469488112E-3</v>
      </c>
      <c r="L1172" s="232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4">
        <v>6</v>
      </c>
      <c r="C1173" s="234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5">
        <f t="shared" si="50"/>
        <v>45823</v>
      </c>
      <c r="I1173" s="157">
        <f>_xlfn.XLOOKUP(Table5[[#This Row],[Month Year]],'Modelling New'!D:D,'Modelling New'!N:N)</f>
        <v>10.507</v>
      </c>
      <c r="J1173" s="232">
        <f>IFERROR(Inv_SY!J1174/Inv_SY!$P1174-1,"")</f>
        <v>1.456927478239689E-2</v>
      </c>
      <c r="K1173" s="232">
        <f>IFERROR(Inv_SY!K1174/Inv_SY!$P1174-1,"")</f>
        <v>1.2109075889045195E-2</v>
      </c>
      <c r="L1173" s="232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4">
        <v>6</v>
      </c>
      <c r="C1174" s="234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5">
        <f t="shared" si="50"/>
        <v>45824</v>
      </c>
      <c r="I1174" s="157">
        <f>_xlfn.XLOOKUP(Table5[[#This Row],[Month Year]],'Modelling New'!D:D,'Modelling New'!N:N)</f>
        <v>10.507</v>
      </c>
      <c r="J1174" s="232">
        <f>IFERROR(Inv_SY!J1175/Inv_SY!$P1175-1,"")</f>
        <v>2.3218859958328286E-2</v>
      </c>
      <c r="K1174" s="232">
        <f>IFERROR(Inv_SY!K1175/Inv_SY!$P1175-1,"")</f>
        <v>2.4082596838126413E-4</v>
      </c>
      <c r="L1174" s="232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4">
        <v>6</v>
      </c>
      <c r="C1175" s="234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5">
        <f t="shared" si="50"/>
        <v>45825</v>
      </c>
      <c r="I1175" s="157">
        <f>_xlfn.XLOOKUP(Table5[[#This Row],[Month Year]],'Modelling New'!D:D,'Modelling New'!N:N)</f>
        <v>10.507</v>
      </c>
      <c r="J1175" s="232">
        <f>IFERROR(Inv_SY!J1176/Inv_SY!$P1176-1,"")</f>
        <v>1.1193540495470611E-2</v>
      </c>
      <c r="K1175" s="232">
        <f>IFERROR(Inv_SY!K1176/Inv_SY!$P1176-1,"")</f>
        <v>-1.1689342554570659E-2</v>
      </c>
      <c r="L1175" s="232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4">
        <v>6</v>
      </c>
      <c r="C1176" s="234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5">
        <f t="shared" si="50"/>
        <v>45826</v>
      </c>
      <c r="I1176" s="157">
        <f>_xlfn.XLOOKUP(Table5[[#This Row],[Month Year]],'Modelling New'!D:D,'Modelling New'!N:N)</f>
        <v>10.507</v>
      </c>
      <c r="J1176" s="232">
        <f>IFERROR(Inv_SY!J1177/Inv_SY!$P1177-1,"")</f>
        <v>1.5727158787424811E-2</v>
      </c>
      <c r="K1176" s="232">
        <f>IFERROR(Inv_SY!K1177/Inv_SY!$P1177-1,"")</f>
        <v>1.6126393647076354E-2</v>
      </c>
      <c r="L1176" s="232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4">
        <v>6</v>
      </c>
      <c r="C1177" s="234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5">
        <f t="shared" si="50"/>
        <v>45827</v>
      </c>
      <c r="I1177" s="157">
        <f>_xlfn.XLOOKUP(Table5[[#This Row],[Month Year]],'Modelling New'!D:D,'Modelling New'!N:N)</f>
        <v>10.507</v>
      </c>
      <c r="J1177" s="232">
        <f>IFERROR(Inv_SY!J1178/Inv_SY!$P1178-1,"")</f>
        <v>3.1274905050274748E-2</v>
      </c>
      <c r="K1177" s="232">
        <f>IFERROR(Inv_SY!K1178/Inv_SY!$P1178-1,"")</f>
        <v>3.1606264754733937E-2</v>
      </c>
      <c r="L1177" s="232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4">
        <v>6</v>
      </c>
      <c r="C1178" s="234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5">
        <f t="shared" si="50"/>
        <v>45828</v>
      </c>
      <c r="I1178" s="157">
        <f>_xlfn.XLOOKUP(Table5[[#This Row],[Month Year]],'Modelling New'!D:D,'Modelling New'!N:N)</f>
        <v>10.507</v>
      </c>
      <c r="J1178" s="232">
        <f>IFERROR(Inv_SY!J1179/Inv_SY!$P1179-1,"")</f>
        <v>1.609347557702101E-2</v>
      </c>
      <c r="K1178" s="232">
        <f>IFERROR(Inv_SY!K1179/Inv_SY!$P1179-1,"")</f>
        <v>2.4791250099456486E-2</v>
      </c>
      <c r="L1178" s="232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4">
        <v>6</v>
      </c>
      <c r="C1179" s="234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5">
        <f t="shared" si="50"/>
        <v>45829</v>
      </c>
      <c r="I1179" s="157">
        <f>_xlfn.XLOOKUP(Table5[[#This Row],[Month Year]],'Modelling New'!D:D,'Modelling New'!N:N)</f>
        <v>10.507</v>
      </c>
      <c r="J1179" s="232">
        <f>IFERROR(Inv_SY!J1180/Inv_SY!$P1180-1,"")</f>
        <v>3.0934447245869912E-2</v>
      </c>
      <c r="K1179" s="232">
        <f>IFERROR(Inv_SY!K1180/Inv_SY!$P1180-1,"")</f>
        <v>2.7285698397151892E-2</v>
      </c>
      <c r="L1179" s="232">
        <f>IFERROR(Inv_SY!L1180/Inv_SY!$P1180-1,"")</f>
        <v>2.8044699956155661E-3</v>
      </c>
      <c r="M1179" s="232">
        <f>IFERROR(Inv_SY!M1180/Inv_SY!$P1180-1,"")</f>
        <v>-1.9572254433653735E-2</v>
      </c>
      <c r="N1179" s="232">
        <f>IFERROR(Inv_SY!N1180/Inv_SY!$P1180-1,"")</f>
        <v>-2.5231353393341371E-2</v>
      </c>
      <c r="O1179" s="232">
        <f>IFERROR(Inv_SY!O1180/Inv_SY!$P1180-1,"")</f>
        <v>-1.6221007811641153E-2</v>
      </c>
      <c r="P1179" s="232">
        <f>IFERROR(Inv_SY!J1180/Inv_SY!$Q1180-1,"")</f>
        <v>0</v>
      </c>
      <c r="Q1179" s="232">
        <f>IFERROR(Inv_SY!K1180/Inv_SY!$Q1180-1,"")</f>
        <v>-3.5392636830261504E-3</v>
      </c>
      <c r="R1179" s="232">
        <f>IFERROR(Inv_SY!L1180/Inv_SY!$Q1180-1,"")</f>
        <v>-2.7285902925645034E-2</v>
      </c>
      <c r="S1179" s="232">
        <f>IFERROR(Inv_SY!M1180/Inv_SY!$Q1180-1,"")</f>
        <v>-4.8991186408070653E-2</v>
      </c>
      <c r="T1179" s="232">
        <f>IFERROR(Inv_SY!N1180/Inv_SY!$Q1180-1,"")</f>
        <v>-5.4480477191597987E-2</v>
      </c>
      <c r="U1179" s="233">
        <f>IFERROR(Inv_SY!O1180/Inv_SY!$Q1180-1,"")</f>
        <v>-4.5740498034076094E-2</v>
      </c>
    </row>
    <row r="1180" spans="1:21">
      <c r="A1180" s="102" t="s">
        <v>4</v>
      </c>
      <c r="B1180" s="234">
        <v>6</v>
      </c>
      <c r="C1180" s="234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5">
        <f t="shared" si="50"/>
        <v>45830</v>
      </c>
      <c r="I1180" s="157">
        <f>_xlfn.XLOOKUP(Table5[[#This Row],[Month Year]],'Modelling New'!D:D,'Modelling New'!N:N)</f>
        <v>10.507</v>
      </c>
      <c r="J1180" s="232">
        <f>IFERROR(Inv_SY!J1181/Inv_SY!$P1181-1,"")</f>
        <v>1.3910237797893465E-2</v>
      </c>
      <c r="K1180" s="232">
        <f>IFERROR(Inv_SY!K1181/Inv_SY!$P1181-1,"")</f>
        <v>3.3673054809983061E-2</v>
      </c>
      <c r="L1180" s="232">
        <f>IFERROR(Inv_SY!L1181/Inv_SY!$P1181-1,"")</f>
        <v>6.8714363635344888E-3</v>
      </c>
      <c r="M1180" s="232">
        <f>IFERROR(Inv_SY!M1181/Inv_SY!$P1181-1,"")</f>
        <v>-2.7731335582522942E-2</v>
      </c>
      <c r="N1180" s="232">
        <f>IFERROR(Inv_SY!N1181/Inv_SY!$P1181-1,"")</f>
        <v>-1.4635932781707051E-2</v>
      </c>
      <c r="O1180" s="232">
        <f>IFERROR(Inv_SY!O1181/Inv_SY!$P1181-1,"")</f>
        <v>-1.2087460607180689E-2</v>
      </c>
      <c r="P1180" s="232">
        <f>IFERROR(Inv_SY!J1181/Inv_SY!$Q1181-1,"")</f>
        <v>-1.9119021164503813E-2</v>
      </c>
      <c r="Q1180" s="232">
        <f>IFERROR(Inv_SY!K1181/Inv_SY!$Q1181-1,"")</f>
        <v>0</v>
      </c>
      <c r="R1180" s="232">
        <f>IFERROR(Inv_SY!L1181/Inv_SY!$Q1181-1,"")</f>
        <v>-2.5928525776823474E-2</v>
      </c>
      <c r="S1180" s="232">
        <f>IFERROR(Inv_SY!M1181/Inv_SY!$Q1181-1,"")</f>
        <v>-5.9404073760821463E-2</v>
      </c>
      <c r="T1180" s="232">
        <f>IFERROR(Inv_SY!N1181/Inv_SY!$Q1181-1,"")</f>
        <v>-4.6735268339340164E-2</v>
      </c>
      <c r="U1180" s="233">
        <f>IFERROR(Inv_SY!O1181/Inv_SY!$Q1181-1,"")</f>
        <v>-4.4269815493619191E-2</v>
      </c>
    </row>
    <row r="1181" spans="1:21">
      <c r="A1181" s="102" t="s">
        <v>4</v>
      </c>
      <c r="B1181" s="234">
        <v>6</v>
      </c>
      <c r="C1181" s="234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5">
        <f t="shared" si="50"/>
        <v>45831</v>
      </c>
      <c r="I1181" s="157">
        <f>_xlfn.XLOOKUP(Table5[[#This Row],[Month Year]],'Modelling New'!D:D,'Modelling New'!N:N)</f>
        <v>10.507</v>
      </c>
      <c r="J1181" s="232">
        <f>IFERROR(Inv_SY!J1182/Inv_SY!$P1182-1,"")</f>
        <v>1.4793654441858317E-2</v>
      </c>
      <c r="K1181" s="232">
        <f>IFERROR(Inv_SY!K1182/Inv_SY!$P1182-1,"")</f>
        <v>1.4663261909986458E-2</v>
      </c>
      <c r="L1181" s="232">
        <f>IFERROR(Inv_SY!L1182/Inv_SY!$P1182-1,"")</f>
        <v>8.7650167146209323E-3</v>
      </c>
      <c r="M1181" s="232">
        <f>IFERROR(Inv_SY!M1182/Inv_SY!$P1182-1,"")</f>
        <v>-7.8816248736042205E-3</v>
      </c>
      <c r="N1181" s="232">
        <f>IFERROR(Inv_SY!N1182/Inv_SY!$P1182-1,"")</f>
        <v>-1.9564358743271337E-2</v>
      </c>
      <c r="O1181" s="232">
        <f>IFERROR(Inv_SY!O1182/Inv_SY!$P1182-1,"")</f>
        <v>-1.0775949449590039E-2</v>
      </c>
      <c r="P1181" s="232">
        <f>IFERROR(Inv_SY!J1182/Inv_SY!$Q1182-1,"")</f>
        <v>0</v>
      </c>
      <c r="Q1181" s="232">
        <f>IFERROR(Inv_SY!K1182/Inv_SY!$Q1182-1,"")</f>
        <v>-1.2849167049999721E-4</v>
      </c>
      <c r="R1181" s="232">
        <f>IFERROR(Inv_SY!L1182/Inv_SY!$Q1182-1,"")</f>
        <v>-5.940752290723883E-3</v>
      </c>
      <c r="S1181" s="232">
        <f>IFERROR(Inv_SY!M1182/Inv_SY!$Q1182-1,"")</f>
        <v>-2.2344719260127932E-2</v>
      </c>
      <c r="T1181" s="232">
        <f>IFERROR(Inv_SY!N1182/Inv_SY!$Q1182-1,"")</f>
        <v>-3.3857142321240485E-2</v>
      </c>
      <c r="U1181" s="233">
        <f>IFERROR(Inv_SY!O1182/Inv_SY!$Q1182-1,"")</f>
        <v>-2.5196850393700787E-2</v>
      </c>
    </row>
    <row r="1182" spans="1:21">
      <c r="A1182" s="102" t="s">
        <v>4</v>
      </c>
      <c r="B1182" s="234">
        <v>6</v>
      </c>
      <c r="C1182" s="234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5">
        <f t="shared" si="50"/>
        <v>45832</v>
      </c>
      <c r="I1182" s="157">
        <f>_xlfn.XLOOKUP(Table5[[#This Row],[Month Year]],'Modelling New'!D:D,'Modelling New'!N:N)</f>
        <v>10.507</v>
      </c>
      <c r="J1182" s="232">
        <f>IFERROR(Inv_SY!J1183/Inv_SY!$P1183-1,"")</f>
        <v>1.8255481421346031E-2</v>
      </c>
      <c r="K1182" s="232">
        <f>IFERROR(Inv_SY!K1183/Inv_SY!$P1183-1,"")</f>
        <v>7.1016845403990558E-3</v>
      </c>
      <c r="L1182" s="232">
        <f>IFERROR(Inv_SY!L1183/Inv_SY!$P1183-1,"")</f>
        <v>7.4382780108557256E-3</v>
      </c>
      <c r="M1182" s="232">
        <f>IFERROR(Inv_SY!M1183/Inv_SY!$P1183-1,"")</f>
        <v>-4.2498845338716507E-3</v>
      </c>
      <c r="N1182" s="232">
        <f>IFERROR(Inv_SY!N1183/Inv_SY!$P1183-1,"")</f>
        <v>-1.3213490533442673E-2</v>
      </c>
      <c r="O1182" s="232">
        <f>IFERROR(Inv_SY!O1183/Inv_SY!$P1183-1,"")</f>
        <v>-1.5332068905287155E-2</v>
      </c>
      <c r="P1182" s="232">
        <f>IFERROR(Inv_SY!J1183/Inv_SY!$Q1183-1,"")</f>
        <v>0</v>
      </c>
      <c r="Q1182" s="232">
        <f>IFERROR(Inv_SY!K1183/Inv_SY!$Q1183-1,"")</f>
        <v>-1.0953829450913055E-2</v>
      </c>
      <c r="R1182" s="232">
        <f>IFERROR(Inv_SY!L1183/Inv_SY!$Q1183-1,"")</f>
        <v>-1.0623270493364645E-2</v>
      </c>
      <c r="S1182" s="232">
        <f>IFERROR(Inv_SY!M1183/Inv_SY!$Q1183-1,"")</f>
        <v>-2.210188539697644E-2</v>
      </c>
      <c r="T1182" s="232">
        <f>IFERROR(Inv_SY!N1183/Inv_SY!$Q1183-1,"")</f>
        <v>-3.0904790132690652E-2</v>
      </c>
      <c r="U1182" s="233">
        <f>IFERROR(Inv_SY!O1183/Inv_SY!$Q1183-1,"")</f>
        <v>-3.2985386221294322E-2</v>
      </c>
    </row>
    <row r="1183" spans="1:21">
      <c r="A1183" s="102" t="s">
        <v>4</v>
      </c>
      <c r="B1183" s="234">
        <v>6</v>
      </c>
      <c r="C1183" s="234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5">
        <f t="shared" si="50"/>
        <v>45833</v>
      </c>
      <c r="I1183" s="157">
        <f>_xlfn.XLOOKUP(Table5[[#This Row],[Month Year]],'Modelling New'!D:D,'Modelling New'!N:N)</f>
        <v>10.507</v>
      </c>
      <c r="J1183" s="232">
        <f>IFERROR(Inv_SY!J1184/Inv_SY!$P1184-1,"")</f>
        <v>3.7344418737306206E-2</v>
      </c>
      <c r="K1183" s="232">
        <f>IFERROR(Inv_SY!K1184/Inv_SY!$P1184-1,"")</f>
        <v>-1.2395318280264855E-2</v>
      </c>
      <c r="L1183" s="232">
        <f>IFERROR(Inv_SY!L1184/Inv_SY!$P1184-1,"")</f>
        <v>1.7737344021136359E-2</v>
      </c>
      <c r="M1183" s="232">
        <f>IFERROR(Inv_SY!M1184/Inv_SY!$P1184-1,"")</f>
        <v>1.4558914902731424E-3</v>
      </c>
      <c r="N1183" s="232">
        <f>IFERROR(Inv_SY!N1184/Inv_SY!$P1184-1,"")</f>
        <v>-2.821631236077915E-2</v>
      </c>
      <c r="O1183" s="232">
        <f>IFERROR(Inv_SY!O1184/Inv_SY!$P1184-1,"")</f>
        <v>-1.5926023607670703E-2</v>
      </c>
      <c r="P1183" s="232">
        <f>IFERROR(Inv_SY!J1184/Inv_SY!$Q1184-1,"")</f>
        <v>0</v>
      </c>
      <c r="Q1183" s="232">
        <f>IFERROR(Inv_SY!K1184/Inv_SY!$Q1184-1,"")</f>
        <v>-4.7949105542126613E-2</v>
      </c>
      <c r="R1183" s="232">
        <f>IFERROR(Inv_SY!L1184/Inv_SY!$Q1184-1,"")</f>
        <v>-1.8901219654737456E-2</v>
      </c>
      <c r="S1183" s="232">
        <f>IFERROR(Inv_SY!M1184/Inv_SY!$Q1184-1,"")</f>
        <v>-3.4596539585876163E-2</v>
      </c>
      <c r="T1183" s="232">
        <f>IFERROR(Inv_SY!N1184/Inv_SY!$Q1184-1,"")</f>
        <v>-6.3200543535857023E-2</v>
      </c>
      <c r="U1183" s="233">
        <f>IFERROR(Inv_SY!O1184/Inv_SY!$Q1184-1,"")</f>
        <v>-5.1352705410821597E-2</v>
      </c>
    </row>
    <row r="1184" spans="1:21">
      <c r="A1184" s="102" t="s">
        <v>4</v>
      </c>
      <c r="B1184" s="234">
        <v>6</v>
      </c>
      <c r="C1184" s="234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5">
        <f t="shared" si="50"/>
        <v>45834</v>
      </c>
      <c r="I1184" s="157">
        <f>_xlfn.XLOOKUP(Table5[[#This Row],[Month Year]],'Modelling New'!D:D,'Modelling New'!N:N)</f>
        <v>10.507</v>
      </c>
      <c r="J1184" s="232">
        <f>IFERROR(Inv_SY!J1185/Inv_SY!$P1185-1,"")</f>
        <v>1.4967591673781255E-2</v>
      </c>
      <c r="K1184" s="232">
        <f>IFERROR(Inv_SY!K1185/Inv_SY!$P1185-1,"")</f>
        <v>1.7248502304035407E-2</v>
      </c>
      <c r="L1184" s="232">
        <f>IFERROR(Inv_SY!L1185/Inv_SY!$P1185-1,"")</f>
        <v>1.8687460570879999E-2</v>
      </c>
      <c r="M1184" s="232">
        <f>IFERROR(Inv_SY!M1185/Inv_SY!$P1185-1,"")</f>
        <v>-2.1693448816449967E-2</v>
      </c>
      <c r="N1184" s="232">
        <f>IFERROR(Inv_SY!N1185/Inv_SY!$P1185-1,"")</f>
        <v>-1.3144515646217991E-2</v>
      </c>
      <c r="O1184" s="232">
        <f>IFERROR(Inv_SY!O1185/Inv_SY!$P1185-1,"")</f>
        <v>-1.6065590086028592E-2</v>
      </c>
      <c r="P1184" s="232">
        <f>IFERROR(Inv_SY!J1185/Inv_SY!$Q1185-1,"")</f>
        <v>-3.6516292200298173E-3</v>
      </c>
      <c r="Q1184" s="232">
        <f>IFERROR(Inv_SY!K1185/Inv_SY!$Q1185-1,"")</f>
        <v>-1.4125610872230965E-3</v>
      </c>
      <c r="R1184" s="232">
        <f>IFERROR(Inv_SY!L1185/Inv_SY!$Q1185-1,"")</f>
        <v>0</v>
      </c>
      <c r="S1184" s="232">
        <f>IFERROR(Inv_SY!M1185/Inv_SY!$Q1185-1,"")</f>
        <v>-3.9640135910478547E-2</v>
      </c>
      <c r="T1184" s="232">
        <f>IFERROR(Inv_SY!N1185/Inv_SY!$Q1185-1,"")</f>
        <v>-3.1248029890599605E-2</v>
      </c>
      <c r="U1184" s="233">
        <f>IFERROR(Inv_SY!O1185/Inv_SY!$Q1185-1,"")</f>
        <v>-3.4115518254669297E-2</v>
      </c>
    </row>
    <row r="1185" spans="1:21">
      <c r="A1185" s="102" t="s">
        <v>4</v>
      </c>
      <c r="B1185" s="234">
        <v>6</v>
      </c>
      <c r="C1185" s="234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5">
        <f>H1184+1</f>
        <v>45835</v>
      </c>
      <c r="I1185" s="157">
        <f>_xlfn.XLOOKUP(Table5[[#This Row],[Month Year]],'Modelling New'!D:D,'Modelling New'!N:N)</f>
        <v>10.507</v>
      </c>
      <c r="J1185" s="232">
        <f>IFERROR(Inv_SY!J1186/Inv_SY!$P1186-1,"")</f>
        <v>1.4181459750849834E-2</v>
      </c>
      <c r="K1185" s="232">
        <f>IFERROR(Inv_SY!K1186/Inv_SY!$P1186-1,"")</f>
        <v>7.4012400574201553E-3</v>
      </c>
      <c r="L1185" s="232">
        <f>IFERROR(Inv_SY!L1186/Inv_SY!$P1186-1,"")</f>
        <v>1.1366506507335394E-2</v>
      </c>
      <c r="M1185" s="232">
        <f>IFERROR(Inv_SY!M1186/Inv_SY!$P1186-1,"")</f>
        <v>-5.2244898879904023E-3</v>
      </c>
      <c r="N1185" s="232">
        <f>IFERROR(Inv_SY!N1186/Inv_SY!$P1186-1,"")</f>
        <v>-9.7067648158368769E-3</v>
      </c>
      <c r="O1185" s="232">
        <f>IFERROR(Inv_SY!O1186/Inv_SY!$P1186-1,"")</f>
        <v>-1.8017951611778327E-2</v>
      </c>
      <c r="P1185" s="232">
        <f>IFERROR(Inv_SY!J1186/Inv_SY!$Q1186-1,"")</f>
        <v>0</v>
      </c>
      <c r="Q1185" s="232">
        <f>IFERROR(Inv_SY!K1186/Inv_SY!$Q1186-1,"")</f>
        <v>-6.6854108091222164E-3</v>
      </c>
      <c r="R1185" s="232">
        <f>IFERROR(Inv_SY!L1186/Inv_SY!$Q1186-1,"")</f>
        <v>-2.7755913071079164E-3</v>
      </c>
      <c r="S1185" s="232">
        <f>IFERROR(Inv_SY!M1186/Inv_SY!$Q1186-1,"")</f>
        <v>-1.9134593175867742E-2</v>
      </c>
      <c r="T1185" s="232">
        <f>IFERROR(Inv_SY!N1186/Inv_SY!$Q1186-1,"")</f>
        <v>-2.3554191744498354E-2</v>
      </c>
      <c r="U1185" s="233">
        <f>IFERROR(Inv_SY!O1186/Inv_SY!$Q1186-1,"")</f>
        <v>-3.174916190100574E-2</v>
      </c>
    </row>
    <row r="1186" spans="1:21">
      <c r="A1186" s="102" t="s">
        <v>4</v>
      </c>
      <c r="B1186" s="234">
        <v>6</v>
      </c>
      <c r="C1186" s="234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5">
        <f t="shared" si="50"/>
        <v>45836</v>
      </c>
      <c r="I1186" s="157">
        <f>_xlfn.XLOOKUP(Table5[[#This Row],[Month Year]],'Modelling New'!D:D,'Modelling New'!N:N)</f>
        <v>10.507</v>
      </c>
      <c r="J1186" s="232">
        <f>IFERROR(Inv_SY!J1187/Inv_SY!$P1187-1,"")</f>
        <v>-4.2781064763808274E-3</v>
      </c>
      <c r="K1186" s="232">
        <f>IFERROR(Inv_SY!K1187/Inv_SY!$P1187-1,"")</f>
        <v>1.3061018414217251E-2</v>
      </c>
      <c r="L1186" s="232">
        <f>IFERROR(Inv_SY!L1187/Inv_SY!$P1187-1,"")</f>
        <v>1.1599654456017294E-2</v>
      </c>
      <c r="M1186" s="232">
        <f>IFERROR(Inv_SY!M1187/Inv_SY!$P1187-1,"")</f>
        <v>7.3809146048295915E-3</v>
      </c>
      <c r="N1186" s="232">
        <f>IFERROR(Inv_SY!N1187/Inv_SY!$P1187-1,"")</f>
        <v>-1.483459920622765E-2</v>
      </c>
      <c r="O1186" s="232">
        <f>IFERROR(Inv_SY!O1187/Inv_SY!$P1187-1,"")</f>
        <v>-1.2928881792454883E-2</v>
      </c>
      <c r="P1186" s="232">
        <f>IFERROR(Inv_SY!J1187/Inv_SY!$Q1187-1,"")</f>
        <v>-1.7115578011026145E-2</v>
      </c>
      <c r="Q1186" s="232">
        <f>IFERROR(Inv_SY!K1187/Inv_SY!$Q1187-1,"")</f>
        <v>0</v>
      </c>
      <c r="R1186" s="232">
        <f>IFERROR(Inv_SY!L1187/Inv_SY!$Q1187-1,"")</f>
        <v>-1.4425231369454838E-3</v>
      </c>
      <c r="S1186" s="232">
        <f>IFERROR(Inv_SY!M1187/Inv_SY!$Q1187-1,"")</f>
        <v>-5.6068723464249848E-3</v>
      </c>
      <c r="T1186" s="232">
        <f>IFERROR(Inv_SY!N1187/Inv_SY!$Q1187-1,"")</f>
        <v>-2.7535969811681271E-2</v>
      </c>
      <c r="U1186" s="233">
        <f>IFERROR(Inv_SY!O1187/Inv_SY!$Q1187-1,"")</f>
        <v>-2.5654822102774477E-2</v>
      </c>
    </row>
    <row r="1187" spans="1:21">
      <c r="A1187" s="102" t="s">
        <v>4</v>
      </c>
      <c r="B1187" s="234">
        <v>6</v>
      </c>
      <c r="C1187" s="234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5">
        <f t="shared" si="50"/>
        <v>45837</v>
      </c>
      <c r="I1187" s="157">
        <f>_xlfn.XLOOKUP(Table5[[#This Row],[Month Year]],'Modelling New'!D:D,'Modelling New'!N:N)</f>
        <v>10.507</v>
      </c>
      <c r="J1187" s="232">
        <f>IFERROR(Inv_SY!J1188/Inv_SY!$P1188-1,"")</f>
        <v>1.8196135769789734E-2</v>
      </c>
      <c r="K1187" s="232">
        <f>IFERROR(Inv_SY!K1188/Inv_SY!$P1188-1,"")</f>
        <v>2.2447088522887793E-3</v>
      </c>
      <c r="L1187" s="232">
        <f>IFERROR(Inv_SY!L1188/Inv_SY!$P1188-1,"")</f>
        <v>-1.8494578362685532E-3</v>
      </c>
      <c r="M1187" s="232">
        <f>IFERROR(Inv_SY!M1188/Inv_SY!$P1188-1,"")</f>
        <v>5.4784487853098973E-3</v>
      </c>
      <c r="N1187" s="232">
        <f>IFERROR(Inv_SY!N1188/Inv_SY!$P1188-1,"")</f>
        <v>-1.7110537398361991E-2</v>
      </c>
      <c r="O1187" s="232">
        <f>IFERROR(Inv_SY!O1188/Inv_SY!$P1188-1,"")</f>
        <v>-6.9592981727580883E-3</v>
      </c>
      <c r="P1187" s="232">
        <f>IFERROR(Inv_SY!J1188/Inv_SY!$Q1188-1,"")</f>
        <v>0</v>
      </c>
      <c r="Q1187" s="232">
        <f>IFERROR(Inv_SY!K1188/Inv_SY!$Q1188-1,"")</f>
        <v>-1.5666359709213817E-2</v>
      </c>
      <c r="R1187" s="232">
        <f>IFERROR(Inv_SY!L1188/Inv_SY!$Q1188-1,"")</f>
        <v>-1.968735973536484E-2</v>
      </c>
      <c r="S1187" s="232">
        <f>IFERROR(Inv_SY!M1188/Inv_SY!$Q1188-1,"")</f>
        <v>-1.2490409792082824E-2</v>
      </c>
      <c r="T1187" s="232">
        <f>IFERROR(Inv_SY!N1188/Inv_SY!$Q1188-1,"")</f>
        <v>-3.4675709254640474E-2</v>
      </c>
      <c r="U1187" s="233">
        <f>IFERROR(Inv_SY!O1188/Inv_SY!$Q1188-1,"")</f>
        <v>-2.4705882352941244E-2</v>
      </c>
    </row>
    <row r="1188" spans="1:21">
      <c r="A1188" s="102" t="s">
        <v>4</v>
      </c>
      <c r="B1188" s="234">
        <v>6</v>
      </c>
      <c r="C1188" s="234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5">
        <f t="shared" si="50"/>
        <v>45838</v>
      </c>
      <c r="I1188" s="157">
        <f>_xlfn.XLOOKUP(Table5[[#This Row],[Month Year]],'Modelling New'!D:D,'Modelling New'!N:N)</f>
        <v>10.507</v>
      </c>
      <c r="J1188" s="232">
        <f>IFERROR(Inv_SY!J1189/Inv_SY!$P1189-1,"")</f>
        <v>2.4873245258163479E-2</v>
      </c>
      <c r="K1188" s="232">
        <f>IFERROR(Inv_SY!K1189/Inv_SY!$P1189-1,"")</f>
        <v>1.2312606617335131E-3</v>
      </c>
      <c r="L1188" s="232">
        <f>IFERROR(Inv_SY!L1189/Inv_SY!$P1189-1,"")</f>
        <v>5.511639980038785E-3</v>
      </c>
      <c r="M1188" s="232">
        <f>IFERROR(Inv_SY!M1189/Inv_SY!$P1189-1,"")</f>
        <v>1.0070227542653409E-3</v>
      </c>
      <c r="N1188" s="232">
        <f>IFERROR(Inv_SY!N1189/Inv_SY!$P1189-1,"")</f>
        <v>-1.933056128946975E-2</v>
      </c>
      <c r="O1188" s="232">
        <f>IFERROR(Inv_SY!O1189/Inv_SY!$P1189-1,"")</f>
        <v>-1.329260736473159E-2</v>
      </c>
      <c r="P1188" s="232">
        <f>IFERROR(Inv_SY!J1189/Inv_SY!$Q1189-1,"")</f>
        <v>0</v>
      </c>
      <c r="Q1188" s="232">
        <f>IFERROR(Inv_SY!K1189/Inv_SY!$Q1189-1,"")</f>
        <v>-2.3068203512791263E-2</v>
      </c>
      <c r="R1188" s="232">
        <f>IFERROR(Inv_SY!L1189/Inv_SY!$Q1189-1,"")</f>
        <v>-1.8891707211312392E-2</v>
      </c>
      <c r="S1188" s="232">
        <f>IFERROR(Inv_SY!M1189/Inv_SY!$Q1189-1,"")</f>
        <v>-2.3286999259978125E-2</v>
      </c>
      <c r="T1188" s="232">
        <f>IFERROR(Inv_SY!N1189/Inv_SY!$Q1189-1,"")</f>
        <v>-4.3130998640225515E-2</v>
      </c>
      <c r="U1188" s="233">
        <f>IFERROR(Inv_SY!O1189/Inv_SY!$Q1189-1,"")</f>
        <v>-3.7239583333333326E-2</v>
      </c>
    </row>
    <row r="1189" spans="1:21">
      <c r="A1189" s="102" t="s">
        <v>4</v>
      </c>
      <c r="B1189" s="234">
        <v>6</v>
      </c>
      <c r="C1189" s="234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5">
        <f t="shared" si="50"/>
        <v>45839</v>
      </c>
      <c r="I1189" s="157">
        <f>_xlfn.XLOOKUP(Table5[[#This Row],[Month Year]],'Modelling New'!D:D,'Modelling New'!N:N)</f>
        <v>10.507</v>
      </c>
      <c r="J1189" s="232">
        <f>IFERROR(Inv_SY!J1190/Inv_SY!$P1190-1,"")</f>
        <v>1.0963601502700593E-2</v>
      </c>
      <c r="K1189" s="232">
        <f>IFERROR(Inv_SY!K1190/Inv_SY!$P1190-1,"")</f>
        <v>5.6647098273909791E-4</v>
      </c>
      <c r="L1189" s="232">
        <f>IFERROR(Inv_SY!L1190/Inv_SY!$P1190-1,"")</f>
        <v>1.4317788750390692E-2</v>
      </c>
      <c r="M1189" s="232">
        <f>IFERROR(Inv_SY!M1190/Inv_SY!$P1190-1,"")</f>
        <v>7.3646034452559128E-3</v>
      </c>
      <c r="N1189" s="232">
        <f>IFERROR(Inv_SY!N1190/Inv_SY!$P1190-1,"")</f>
        <v>-1.945141288616592E-2</v>
      </c>
      <c r="O1189" s="232">
        <f>IFERROR(Inv_SY!O1190/Inv_SY!$P1190-1,"")</f>
        <v>-1.376105179491971E-2</v>
      </c>
      <c r="P1189" s="232">
        <f>IFERROR(Inv_SY!J1190/Inv_SY!$Q1190-1,"")</f>
        <v>-3.3068406025119623E-3</v>
      </c>
      <c r="Q1189" s="232">
        <f>IFERROR(Inv_SY!K1190/Inv_SY!$Q1190-1,"")</f>
        <v>-1.3557208520016961E-2</v>
      </c>
      <c r="R1189" s="232">
        <f>IFERROR(Inv_SY!L1190/Inv_SY!$Q1190-1,"")</f>
        <v>0</v>
      </c>
      <c r="S1189" s="232">
        <f>IFERROR(Inv_SY!M1190/Inv_SY!$Q1190-1,"")</f>
        <v>-6.8550363429008554E-3</v>
      </c>
      <c r="T1189" s="232">
        <f>IFERROR(Inv_SY!N1190/Inv_SY!$Q1190-1,"")</f>
        <v>-3.3292526278336454E-2</v>
      </c>
      <c r="U1189" s="233">
        <f>IFERROR(Inv_SY!O1190/Inv_SY!$Q1190-1,"")</f>
        <v>-2.7682488522559168E-2</v>
      </c>
    </row>
    <row r="1190" spans="1:21">
      <c r="A1190" s="102" t="s">
        <v>4</v>
      </c>
      <c r="B1190" s="234">
        <v>6</v>
      </c>
      <c r="C1190" s="234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5">
        <f t="shared" si="50"/>
        <v>45840</v>
      </c>
      <c r="I1190" s="157">
        <f>_xlfn.XLOOKUP(Table5[[#This Row],[Month Year]],'Modelling New'!D:D,'Modelling New'!N:N)</f>
        <v>10.507</v>
      </c>
      <c r="J1190" s="232">
        <f>IFERROR(Inv_SY!J1191/Inv_SY!$P1191-1,"")</f>
        <v>2.0574592336856767E-2</v>
      </c>
      <c r="K1190" s="232">
        <f>IFERROR(Inv_SY!K1191/Inv_SY!$P1191-1,"")</f>
        <v>2.9968867530887344E-3</v>
      </c>
      <c r="L1190" s="232">
        <f>IFERROR(Inv_SY!L1191/Inv_SY!$P1191-1,"")</f>
        <v>8.8832061333388168E-3</v>
      </c>
      <c r="M1190" s="232">
        <f>IFERROR(Inv_SY!M1191/Inv_SY!$P1191-1,"")</f>
        <v>7.3600312001045332E-3</v>
      </c>
      <c r="N1190" s="232">
        <f>IFERROR(Inv_SY!N1191/Inv_SY!$P1191-1,"")</f>
        <v>-1.8963771801924212E-2</v>
      </c>
      <c r="O1190" s="232">
        <f>IFERROR(Inv_SY!O1191/Inv_SY!$P1191-1,"")</f>
        <v>-2.085094462146575E-2</v>
      </c>
      <c r="P1190" s="232">
        <f>IFERROR(Inv_SY!J1191/Inv_SY!$Q1191-1,"")</f>
        <v>0</v>
      </c>
      <c r="Q1190" s="232">
        <f>IFERROR(Inv_SY!K1191/Inv_SY!$Q1191-1,"")</f>
        <v>-1.7223342336516123E-2</v>
      </c>
      <c r="R1190" s="232">
        <f>IFERROR(Inv_SY!L1191/Inv_SY!$Q1191-1,"")</f>
        <v>-1.1455690050785727E-2</v>
      </c>
      <c r="S1190" s="232">
        <f>IFERROR(Inv_SY!M1191/Inv_SY!$Q1191-1,"")</f>
        <v>-1.294815806309102E-2</v>
      </c>
      <c r="T1190" s="232">
        <f>IFERROR(Inv_SY!N1191/Inv_SY!$Q1191-1,"")</f>
        <v>-3.8741278134553747E-2</v>
      </c>
      <c r="U1190" s="233">
        <f>IFERROR(Inv_SY!O1191/Inv_SY!$Q1191-1,"")</f>
        <v>-4.0590405904059046E-2</v>
      </c>
    </row>
    <row r="1191" spans="1:21">
      <c r="A1191" s="102" t="s">
        <v>4</v>
      </c>
      <c r="B1191" s="234">
        <v>6</v>
      </c>
      <c r="C1191" s="234">
        <v>2025</v>
      </c>
      <c r="D1191" s="102" t="s">
        <v>211</v>
      </c>
      <c r="E1191" s="102" t="s">
        <v>211</v>
      </c>
      <c r="F1191" s="103">
        <v>45839</v>
      </c>
      <c r="G1191" s="244">
        <f t="shared" ref="G1191:G1197" si="52">DAY(EOMONTH(F1191,0))</f>
        <v>31</v>
      </c>
      <c r="H1191" s="235">
        <f t="shared" si="50"/>
        <v>45841</v>
      </c>
      <c r="I1191" s="157">
        <f>_xlfn.XLOOKUP(Table5[[#This Row],[Month Year]],'Modelling New'!D:D,'Modelling New'!N:N)</f>
        <v>10.507</v>
      </c>
      <c r="J1191" s="245">
        <f>IFERROR(Inv_SY!J1192/Inv_SY!$P1192-1,"")</f>
        <v>1.8428051905657661E-2</v>
      </c>
      <c r="K1191" s="245">
        <f>IFERROR(Inv_SY!K1192/Inv_SY!$P1192-1,"")</f>
        <v>2.1015171416156608E-3</v>
      </c>
      <c r="L1191" s="245">
        <f>IFERROR(Inv_SY!L1192/Inv_SY!$P1192-1,"")</f>
        <v>1.1185409495480414E-2</v>
      </c>
      <c r="M1191" s="245">
        <f>IFERROR(Inv_SY!M1192/Inv_SY!$P1192-1,"")</f>
        <v>9.4487004341543557E-3</v>
      </c>
      <c r="N1191" s="245">
        <f>IFERROR(Inv_SY!N1192/Inv_SY!$P1192-1,"")</f>
        <v>-1.7352779421041187E-2</v>
      </c>
      <c r="O1191" s="245">
        <f>IFERROR(Inv_SY!O1192/Inv_SY!$P1192-1,"")</f>
        <v>-2.381089955586746E-2</v>
      </c>
      <c r="P1191" s="245">
        <f>IFERROR(Inv_SY!J1192/Inv_SY!$Q1192-1,"")</f>
        <v>0</v>
      </c>
      <c r="Q1191" s="245">
        <f>IFERROR(Inv_SY!K1192/Inv_SY!$Q1192-1,"")</f>
        <v>-1.6031112589143914E-2</v>
      </c>
      <c r="R1191" s="245">
        <f>IFERROR(Inv_SY!L1192/Inv_SY!$Q1192-1,"")</f>
        <v>-7.1115896666681389E-3</v>
      </c>
      <c r="S1191" s="245">
        <f>IFERROR(Inv_SY!M1192/Inv_SY!$Q1192-1,"")</f>
        <v>-8.816873665941638E-3</v>
      </c>
      <c r="T1191" s="245">
        <f>IFERROR(Inv_SY!N1192/Inv_SY!$Q1192-1,"")</f>
        <v>-3.5133391366966582E-2</v>
      </c>
      <c r="U1191" s="246">
        <f>IFERROR(Inv_SY!O1192/Inv_SY!$Q1192-1,"")</f>
        <v>-4.1474654377880227E-2</v>
      </c>
    </row>
    <row r="1192" spans="1:21">
      <c r="A1192" s="102" t="s">
        <v>4</v>
      </c>
      <c r="B1192" s="234">
        <v>6</v>
      </c>
      <c r="C1192" s="234">
        <v>2025</v>
      </c>
      <c r="D1192" s="102" t="s">
        <v>211</v>
      </c>
      <c r="E1192" s="102" t="s">
        <v>211</v>
      </c>
      <c r="F1192" s="103">
        <v>45839</v>
      </c>
      <c r="G1192" s="244">
        <f t="shared" si="52"/>
        <v>31</v>
      </c>
      <c r="H1192" s="235">
        <f t="shared" si="50"/>
        <v>45842</v>
      </c>
      <c r="I1192" s="157">
        <f>_xlfn.XLOOKUP(Table5[[#This Row],[Month Year]],'Modelling New'!D:D,'Modelling New'!N:N)</f>
        <v>10.507</v>
      </c>
      <c r="J1192" s="245">
        <f>IFERROR(Inv_SY!J1193/Inv_SY!$P1193-1,"")</f>
        <v>2.1407720922198337E-2</v>
      </c>
      <c r="K1192" s="245">
        <f>IFERROR(Inv_SY!K1193/Inv_SY!$P1193-1,"")</f>
        <v>6.0871540816131997E-4</v>
      </c>
      <c r="L1192" s="245">
        <f>IFERROR(Inv_SY!L1193/Inv_SY!$P1193-1,"")</f>
        <v>9.828742466396978E-3</v>
      </c>
      <c r="M1192" s="245">
        <f>IFERROR(Inv_SY!M1193/Inv_SY!$P1193-1,"")</f>
        <v>1.7270962000754286E-2</v>
      </c>
      <c r="N1192" s="245">
        <f>IFERROR(Inv_SY!N1193/Inv_SY!$P1193-1,"")</f>
        <v>-3.1541141009958085E-2</v>
      </c>
      <c r="O1192" s="245">
        <f>IFERROR(Inv_SY!O1193/Inv_SY!$P1193-1,"")</f>
        <v>-1.757499978755428E-2</v>
      </c>
      <c r="P1192" s="245">
        <f>IFERROR(Inv_SY!J1193/Inv_SY!$Q1193-1,"")</f>
        <v>0</v>
      </c>
      <c r="Q1192" s="245">
        <f>IFERROR(Inv_SY!K1193/Inv_SY!$Q1193-1,"")</f>
        <v>-2.0363078414228464E-2</v>
      </c>
      <c r="R1192" s="245">
        <f>IFERROR(Inv_SY!L1193/Inv_SY!$Q1193-1,"")</f>
        <v>-1.1336294232578426E-2</v>
      </c>
      <c r="S1192" s="245">
        <f>IFERROR(Inv_SY!M1193/Inv_SY!$Q1193-1,"")</f>
        <v>-4.0500564433848529E-3</v>
      </c>
      <c r="T1192" s="245">
        <f>IFERROR(Inv_SY!N1193/Inv_SY!$Q1193-1,"")</f>
        <v>-5.1839104842824724E-2</v>
      </c>
      <c r="U1192" s="246">
        <f>IFERROR(Inv_SY!O1193/Inv_SY!$Q1193-1,"")</f>
        <v>-3.8165680473372876E-2</v>
      </c>
    </row>
    <row r="1193" spans="1:21">
      <c r="A1193" s="102" t="s">
        <v>4</v>
      </c>
      <c r="B1193" s="234">
        <v>6</v>
      </c>
      <c r="C1193" s="234">
        <v>2025</v>
      </c>
      <c r="D1193" s="102" t="s">
        <v>211</v>
      </c>
      <c r="E1193" s="102" t="s">
        <v>211</v>
      </c>
      <c r="F1193" s="103">
        <v>45839</v>
      </c>
      <c r="G1193" s="244">
        <f t="shared" si="52"/>
        <v>31</v>
      </c>
      <c r="H1193" s="235">
        <f t="shared" si="50"/>
        <v>45843</v>
      </c>
      <c r="I1193" s="157">
        <f>_xlfn.XLOOKUP(Table5[[#This Row],[Month Year]],'Modelling New'!D:D,'Modelling New'!N:N)</f>
        <v>10.507</v>
      </c>
      <c r="J1193" s="245">
        <f>IFERROR(Inv_SY!J1194/Inv_SY!$P1194-1,"")</f>
        <v>1.5095568339455134E-2</v>
      </c>
      <c r="K1193" s="245">
        <f>IFERROR(Inv_SY!K1194/Inv_SY!$P1194-1,"")</f>
        <v>7.022190652583804E-3</v>
      </c>
      <c r="L1193" s="245">
        <f>IFERROR(Inv_SY!L1194/Inv_SY!$P1194-1,"")</f>
        <v>6.7932689428069626E-3</v>
      </c>
      <c r="M1193" s="245">
        <f>IFERROR(Inv_SY!M1194/Inv_SY!$P1194-1,"")</f>
        <v>8.540462114448033E-3</v>
      </c>
      <c r="N1193" s="245">
        <f>IFERROR(Inv_SY!N1194/Inv_SY!$P1194-1,"")</f>
        <v>-1.2565176047150572E-2</v>
      </c>
      <c r="O1193" s="245">
        <f>IFERROR(Inv_SY!O1194/Inv_SY!$P1194-1,"")</f>
        <v>-2.4886314002142806E-2</v>
      </c>
      <c r="P1193" s="245">
        <f>IFERROR(Inv_SY!J1194/Inv_SY!$Q1194-1,"")</f>
        <v>0</v>
      </c>
      <c r="Q1193" s="245">
        <f>IFERROR(Inv_SY!K1194/Inv_SY!$Q1194-1,"")</f>
        <v>-7.953317833982898E-3</v>
      </c>
      <c r="R1193" s="245">
        <f>IFERROR(Inv_SY!L1194/Inv_SY!$Q1194-1,"")</f>
        <v>-8.1788352304891232E-3</v>
      </c>
      <c r="S1193" s="245">
        <f>IFERROR(Inv_SY!M1194/Inv_SY!$Q1194-1,"")</f>
        <v>-6.4576247098883099E-3</v>
      </c>
      <c r="T1193" s="245">
        <f>IFERROR(Inv_SY!N1194/Inv_SY!$Q1194-1,"")</f>
        <v>-2.7249399218493786E-2</v>
      </c>
      <c r="U1193" s="246">
        <f>IFERROR(Inv_SY!O1194/Inv_SY!$Q1194-1,"")</f>
        <v>-3.938730853391692E-2</v>
      </c>
    </row>
    <row r="1194" spans="1:21">
      <c r="A1194" s="102" t="s">
        <v>4</v>
      </c>
      <c r="B1194" s="234">
        <v>6</v>
      </c>
      <c r="C1194" s="234">
        <v>2025</v>
      </c>
      <c r="D1194" s="102" t="s">
        <v>211</v>
      </c>
      <c r="E1194" s="102" t="s">
        <v>211</v>
      </c>
      <c r="F1194" s="103">
        <v>45839</v>
      </c>
      <c r="G1194" s="244">
        <f t="shared" si="52"/>
        <v>31</v>
      </c>
      <c r="H1194" s="235">
        <f t="shared" si="50"/>
        <v>45844</v>
      </c>
      <c r="I1194" s="157">
        <f>_xlfn.XLOOKUP(Table5[[#This Row],[Month Year]],'Modelling New'!D:D,'Modelling New'!N:N)</f>
        <v>10.507</v>
      </c>
      <c r="J1194" s="245">
        <f>IFERROR(Inv_SY!J1195/Inv_SY!$P1195-1,"")</f>
        <v>2.6168052308232159E-2</v>
      </c>
      <c r="K1194" s="245">
        <f>IFERROR(Inv_SY!K1195/Inv_SY!$P1195-1,"")</f>
        <v>-2.9722823969778545E-2</v>
      </c>
      <c r="L1194" s="245">
        <f>IFERROR(Inv_SY!L1195/Inv_SY!$P1195-1,"")</f>
        <v>1.838563366348267E-2</v>
      </c>
      <c r="M1194" s="245">
        <f>IFERROR(Inv_SY!M1195/Inv_SY!$P1195-1,"")</f>
        <v>-3.7026879859053397E-3</v>
      </c>
      <c r="N1194" s="245">
        <f>IFERROR(Inv_SY!N1195/Inv_SY!$P1195-1,"")</f>
        <v>-6.5401316676340082E-3</v>
      </c>
      <c r="O1194" s="245">
        <f>IFERROR(Inv_SY!O1195/Inv_SY!$P1195-1,"")</f>
        <v>-4.5880423483968258E-3</v>
      </c>
      <c r="P1194" s="245">
        <f>IFERROR(Inv_SY!J1195/Inv_SY!$Q1195-1,"")</f>
        <v>0</v>
      </c>
      <c r="Q1194" s="245">
        <f>IFERROR(Inv_SY!K1195/Inv_SY!$Q1195-1,"")</f>
        <v>-5.446561715918885E-2</v>
      </c>
      <c r="R1194" s="245">
        <f>IFERROR(Inv_SY!L1195/Inv_SY!$Q1195-1,"")</f>
        <v>-7.5839611526046236E-3</v>
      </c>
      <c r="S1194" s="245">
        <f>IFERROR(Inv_SY!M1195/Inv_SY!$Q1195-1,"")</f>
        <v>-2.9109014090769159E-2</v>
      </c>
      <c r="T1194" s="245">
        <f>IFERROR(Inv_SY!N1195/Inv_SY!$Q1195-1,"")</f>
        <v>-3.1874100837863018E-2</v>
      </c>
      <c r="U1194" s="246">
        <f>IFERROR(Inv_SY!O1195/Inv_SY!$Q1195-1,"")</f>
        <v>-2.9971791255289149E-2</v>
      </c>
    </row>
    <row r="1195" spans="1:21">
      <c r="A1195" s="102" t="s">
        <v>4</v>
      </c>
      <c r="B1195" s="234">
        <v>6</v>
      </c>
      <c r="C1195" s="234">
        <v>2025</v>
      </c>
      <c r="D1195" s="102" t="s">
        <v>211</v>
      </c>
      <c r="E1195" s="102" t="s">
        <v>211</v>
      </c>
      <c r="F1195" s="103">
        <v>45839</v>
      </c>
      <c r="G1195" s="244">
        <f t="shared" si="52"/>
        <v>31</v>
      </c>
      <c r="H1195" s="235">
        <f t="shared" si="50"/>
        <v>45845</v>
      </c>
      <c r="I1195" s="157">
        <f>_xlfn.XLOOKUP(Table5[[#This Row],[Month Year]],'Modelling New'!D:D,'Modelling New'!N:N)</f>
        <v>10.507</v>
      </c>
      <c r="J1195" s="245">
        <f>IFERROR(Inv_SY!J1196/Inv_SY!$P1196-1,"")</f>
        <v>1.8225016734466637E-2</v>
      </c>
      <c r="K1195" s="245">
        <f>IFERROR(Inv_SY!K1196/Inv_SY!$P1196-1,"")</f>
        <v>2.0131201742827898E-3</v>
      </c>
      <c r="L1195" s="245">
        <f>IFERROR(Inv_SY!L1196/Inv_SY!$P1196-1,"")</f>
        <v>2.9262906448084269E-3</v>
      </c>
      <c r="M1195" s="245">
        <f>IFERROR(Inv_SY!M1196/Inv_SY!$P1196-1,"")</f>
        <v>2.9996633316993648E-2</v>
      </c>
      <c r="N1195" s="245">
        <f>IFERROR(Inv_SY!N1196/Inv_SY!$P1196-1,"")</f>
        <v>-3.5844120689647152E-2</v>
      </c>
      <c r="O1195" s="245">
        <f>IFERROR(Inv_SY!O1196/Inv_SY!$P1196-1,"")</f>
        <v>-1.7316940180903351E-2</v>
      </c>
      <c r="P1195" s="245">
        <f>IFERROR(Inv_SY!J1196/Inv_SY!$Q1196-1,"")</f>
        <v>-1.1428791320043152E-2</v>
      </c>
      <c r="Q1195" s="245">
        <f>IFERROR(Inv_SY!K1196/Inv_SY!$Q1196-1,"")</f>
        <v>-2.716854816563119E-2</v>
      </c>
      <c r="R1195" s="245">
        <f>IFERROR(Inv_SY!L1196/Inv_SY!$Q1196-1,"")</f>
        <v>-2.628197199539184E-2</v>
      </c>
      <c r="S1195" s="245">
        <f>IFERROR(Inv_SY!M1196/Inv_SY!$Q1196-1,"")</f>
        <v>0</v>
      </c>
      <c r="T1195" s="245">
        <f>IFERROR(Inv_SY!N1196/Inv_SY!$Q1196-1,"")</f>
        <v>-6.3923271083525357E-2</v>
      </c>
      <c r="U1195" s="246">
        <f>IFERROR(Inv_SY!O1196/Inv_SY!$Q1196-1,"")</f>
        <v>-4.5935658396793588E-2</v>
      </c>
    </row>
    <row r="1196" spans="1:21">
      <c r="A1196" s="102" t="s">
        <v>4</v>
      </c>
      <c r="B1196" s="234">
        <v>6</v>
      </c>
      <c r="C1196" s="234">
        <v>2025</v>
      </c>
      <c r="D1196" s="102" t="s">
        <v>211</v>
      </c>
      <c r="E1196" s="102" t="s">
        <v>211</v>
      </c>
      <c r="F1196" s="103">
        <v>45839</v>
      </c>
      <c r="G1196" s="244">
        <f t="shared" si="52"/>
        <v>31</v>
      </c>
      <c r="H1196" s="235">
        <f t="shared" si="50"/>
        <v>45846</v>
      </c>
      <c r="I1196" s="157">
        <f>_xlfn.XLOOKUP(Table5[[#This Row],[Month Year]],'Modelling New'!D:D,'Modelling New'!N:N)</f>
        <v>10.507</v>
      </c>
      <c r="J1196" s="245">
        <f>IFERROR(Inv_SY!J1197/Inv_SY!$P1197-1,"")</f>
        <v>2.3914497790391787E-2</v>
      </c>
      <c r="K1196" s="245">
        <f>IFERROR(Inv_SY!K1197/Inv_SY!$P1197-1,"")</f>
        <v>1.052167060887621E-3</v>
      </c>
      <c r="L1196" s="245">
        <f>IFERROR(Inv_SY!L1197/Inv_SY!$P1197-1,"")</f>
        <v>2.487998941252334E-2</v>
      </c>
      <c r="M1196" s="245">
        <f>IFERROR(Inv_SY!M1197/Inv_SY!$P1197-1,"")</f>
        <v>-8.6355790524416109E-3</v>
      </c>
      <c r="N1196" s="245">
        <f>IFERROR(Inv_SY!N1197/Inv_SY!$P1197-1,"")</f>
        <v>-2.8082719089934427E-2</v>
      </c>
      <c r="O1196" s="245">
        <f>IFERROR(Inv_SY!O1197/Inv_SY!$P1197-1,"")</f>
        <v>-1.312835612142671E-2</v>
      </c>
      <c r="P1196" s="245">
        <f>IFERROR(Inv_SY!J1197/Inv_SY!$Q1197-1,"")</f>
        <v>-9.4205334488473014E-4</v>
      </c>
      <c r="Q1196" s="245">
        <f>IFERROR(Inv_SY!K1197/Inv_SY!$Q1197-1,"")</f>
        <v>-2.3249378071372173E-2</v>
      </c>
      <c r="R1196" s="245">
        <f>IFERROR(Inv_SY!L1197/Inv_SY!$Q1197-1,"")</f>
        <v>0</v>
      </c>
      <c r="S1196" s="245">
        <f>IFERROR(Inv_SY!M1197/Inv_SY!$Q1197-1,"")</f>
        <v>-3.2701944433685792E-2</v>
      </c>
      <c r="T1196" s="245">
        <f>IFERROR(Inv_SY!N1197/Inv_SY!$Q1197-1,"")</f>
        <v>-5.167698564669676E-2</v>
      </c>
      <c r="U1196" s="246">
        <f>IFERROR(Inv_SY!O1197/Inv_SY!$Q1197-1,"")</f>
        <v>-3.7085654834315696E-2</v>
      </c>
    </row>
    <row r="1197" spans="1:21">
      <c r="A1197" s="102" t="s">
        <v>4</v>
      </c>
      <c r="B1197" s="234">
        <v>6</v>
      </c>
      <c r="C1197" s="234">
        <v>2025</v>
      </c>
      <c r="D1197" s="102" t="s">
        <v>211</v>
      </c>
      <c r="E1197" s="102" t="s">
        <v>211</v>
      </c>
      <c r="F1197" s="103">
        <v>45839</v>
      </c>
      <c r="G1197" s="244">
        <f t="shared" si="52"/>
        <v>31</v>
      </c>
      <c r="H1197" s="235">
        <f t="shared" si="50"/>
        <v>45847</v>
      </c>
      <c r="I1197" s="157">
        <f>_xlfn.XLOOKUP(Table5[[#This Row],[Month Year]],'Modelling New'!D:D,'Modelling New'!N:N)</f>
        <v>10.507</v>
      </c>
      <c r="J1197" s="245">
        <f>IFERROR(Inv_SY!J1198/Inv_SY!$P1198-1,"")</f>
        <v>1.1413228080398685E-2</v>
      </c>
      <c r="K1197" s="245">
        <f>IFERROR(Inv_SY!K1198/Inv_SY!$P1198-1,"")</f>
        <v>-2.2416754714156162E-2</v>
      </c>
      <c r="L1197" s="245">
        <f>IFERROR(Inv_SY!L1198/Inv_SY!$P1198-1,"")</f>
        <v>1.9545659819075301E-2</v>
      </c>
      <c r="M1197" s="245">
        <f>IFERROR(Inv_SY!M1198/Inv_SY!$P1198-1,"")</f>
        <v>-8.6332806987565736E-4</v>
      </c>
      <c r="N1197" s="245">
        <f>IFERROR(Inv_SY!N1198/Inv_SY!$P1198-1,"")</f>
        <v>-1.4105022679360979E-2</v>
      </c>
      <c r="O1197" s="245">
        <f>IFERROR(Inv_SY!O1198/Inv_SY!$P1198-1,"")</f>
        <v>6.4262175639184793E-3</v>
      </c>
      <c r="P1197" s="245">
        <f>IFERROR(Inv_SY!J1198/Inv_SY!$Q1198-1,"")</f>
        <v>-7.9765252888426286E-3</v>
      </c>
      <c r="Q1197" s="245">
        <f>IFERROR(Inv_SY!K1198/Inv_SY!$Q1198-1,"")</f>
        <v>-4.1157955143154457E-2</v>
      </c>
      <c r="R1197" s="245">
        <f>IFERROR(Inv_SY!L1198/Inv_SY!$Q1198-1,"")</f>
        <v>0</v>
      </c>
      <c r="S1197" s="245">
        <f>IFERROR(Inv_SY!M1198/Inv_SY!$Q1198-1,"")</f>
        <v>-2.0017728183524985E-2</v>
      </c>
      <c r="T1197" s="245">
        <f>IFERROR(Inv_SY!N1198/Inv_SY!$Q1198-1,"")</f>
        <v>-3.3005566915372597E-2</v>
      </c>
      <c r="U1197" s="246">
        <f>IFERROR(Inv_SY!O1198/Inv_SY!$Q1198-1,"")</f>
        <v>-1.2867930071405409E-2</v>
      </c>
    </row>
    <row r="1198" spans="1:21">
      <c r="A1198" s="102"/>
      <c r="B1198" s="102"/>
      <c r="C1198" s="102"/>
      <c r="D1198" s="102"/>
      <c r="E1198" s="102"/>
      <c r="F1198" s="103"/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0</v>
      </c>
      <c r="J1198" s="249">
        <f>IFERROR(Inv_SY!J1199/Inv_SY!$P1199-1,"")</f>
        <v>1.1705010411981576E-2</v>
      </c>
      <c r="K1198" s="249">
        <f>IFERROR(Inv_SY!K1199/Inv_SY!$P1199-1,"")</f>
        <v>-1.0447439632293554E-2</v>
      </c>
      <c r="L1198" s="249">
        <f>IFERROR(Inv_SY!L1199/Inv_SY!$P1199-1,"")</f>
        <v>2.449617848241048E-2</v>
      </c>
      <c r="M1198" s="245">
        <f>IFERROR(Inv_SY!M1199/Inv_SY!$P1199-1,"")</f>
        <v>-2.646795565670268E-3</v>
      </c>
      <c r="N1198" s="245">
        <f>IFERROR(Inv_SY!N1199/Inv_SY!$P1199-1,"")</f>
        <v>-2.2017279381273624E-2</v>
      </c>
      <c r="O1198" s="245">
        <f>IFERROR(Inv_SY!O1199/Inv_SY!$P1199-1,"")</f>
        <v>-1.0896743151544985E-3</v>
      </c>
      <c r="P1198" s="245">
        <f>IFERROR(Inv_SY!J1199/Inv_SY!$Q1199-1,"")</f>
        <v>-1.2485325313146944E-2</v>
      </c>
      <c r="Q1198" s="245">
        <f>IFERROR(Inv_SY!K1199/Inv_SY!$Q1199-1,"")</f>
        <v>-3.4108100009183184E-2</v>
      </c>
      <c r="R1198" s="245">
        <f>IFERROR(Inv_SY!L1199/Inv_SY!$Q1199-1,"")</f>
        <v>0</v>
      </c>
      <c r="S1198" s="245">
        <f>IFERROR(Inv_SY!M1199/Inv_SY!$Q1199-1,"")</f>
        <v>-2.6493972957798428E-2</v>
      </c>
      <c r="T1198" s="245">
        <f>IFERROR(Inv_SY!N1199/Inv_SY!$Q1199-1,"")</f>
        <v>-4.5401299527134009E-2</v>
      </c>
      <c r="U1198" s="246">
        <f>IFERROR(Inv_SY!O1199/Inv_SY!$Q1199-1,"")</f>
        <v>-2.4974083198109454E-2</v>
      </c>
    </row>
    <row r="1199" spans="1:21">
      <c r="A1199" s="259"/>
      <c r="B1199" s="259"/>
      <c r="C1199" s="259"/>
      <c r="D1199" s="259"/>
      <c r="E1199" s="259"/>
      <c r="F1199" s="260"/>
      <c r="G1199" s="259">
        <f t="shared" ref="G1199:G1208" si="53">DAY(EOMONTH(F1199,0))</f>
        <v>31</v>
      </c>
      <c r="H1199" s="104">
        <f t="shared" ref="H1199:H1208" si="54">H1198+1</f>
        <v>45849</v>
      </c>
      <c r="I1199" s="157">
        <f>_xlfn.XLOOKUP(Table5[[#This Row],[Month Year]],'Modelling New'!D:D,'Modelling New'!N:N)</f>
        <v>0</v>
      </c>
      <c r="J1199" s="261">
        <f>IFERROR(Inv_SY!J1200/Inv_SY!$P1200-1,"")</f>
        <v>1.6712419069499385E-2</v>
      </c>
      <c r="K1199" s="261">
        <f>IFERROR(Inv_SY!K1200/Inv_SY!$P1200-1,"")</f>
        <v>1.733369323113787E-2</v>
      </c>
      <c r="L1199" s="261">
        <f>IFERROR(Inv_SY!L1200/Inv_SY!$P1200-1,"")</f>
        <v>1.9356230929657769E-2</v>
      </c>
      <c r="M1199" s="245">
        <f>IFERROR(Inv_SY!M1200/Inv_SY!$P1200-1,"")</f>
        <v>-1.7681697176790356E-2</v>
      </c>
      <c r="N1199" s="245">
        <f>IFERROR(Inv_SY!N1200/Inv_SY!$P1200-1,"")</f>
        <v>-2.9085138170339087E-2</v>
      </c>
      <c r="O1199" s="245">
        <f>IFERROR(Inv_SY!O1200/Inv_SY!$P1200-1,"")</f>
        <v>-6.6355078831653591E-3</v>
      </c>
      <c r="P1199" s="245">
        <f>IFERROR(Inv_SY!J1200/Inv_SY!$Q1200-1,"")</f>
        <v>-2.5936093584745246E-3</v>
      </c>
      <c r="Q1199" s="245">
        <f>IFERROR(Inv_SY!K1200/Inv_SY!$Q1200-1,"")</f>
        <v>-1.9841323740920069E-3</v>
      </c>
      <c r="R1199" s="245">
        <f>IFERROR(Inv_SY!L1200/Inv_SY!$Q1200-1,"")</f>
        <v>0</v>
      </c>
      <c r="S1199" s="245">
        <f>IFERROR(Inv_SY!M1200/Inv_SY!$Q1200-1,"")</f>
        <v>-3.6334626681655102E-2</v>
      </c>
      <c r="T1199" s="245">
        <f>IFERROR(Inv_SY!N1200/Inv_SY!$Q1200-1,"")</f>
        <v>-4.7521531364769332E-2</v>
      </c>
      <c r="U1199" s="246">
        <f>IFERROR(Inv_SY!O1200/Inv_SY!$Q1200-1,"")</f>
        <v>-2.5498189959675344E-2</v>
      </c>
    </row>
    <row r="1200" spans="1:21">
      <c r="A1200" s="259"/>
      <c r="B1200" s="259"/>
      <c r="C1200" s="259"/>
      <c r="D1200" s="259"/>
      <c r="E1200" s="259"/>
      <c r="F1200" s="260"/>
      <c r="G1200" s="259">
        <f t="shared" si="53"/>
        <v>31</v>
      </c>
      <c r="H1200" s="104">
        <f t="shared" si="54"/>
        <v>45850</v>
      </c>
      <c r="I1200" s="157">
        <f>_xlfn.XLOOKUP(Table5[[#This Row],[Month Year]],'Modelling New'!D:D,'Modelling New'!N:N)</f>
        <v>0</v>
      </c>
      <c r="J1200" s="261">
        <f>IFERROR(Inv_SY!J1201/Inv_SY!$P1201-1,"")</f>
        <v>-3.8867448427160056E-4</v>
      </c>
      <c r="K1200" s="261">
        <f>IFERROR(Inv_SY!K1201/Inv_SY!$P1201-1,"")</f>
        <v>1.0584565679664371E-2</v>
      </c>
      <c r="L1200" s="261">
        <f>IFERROR(Inv_SY!L1201/Inv_SY!$P1201-1,"")</f>
        <v>2.3924433066252471E-2</v>
      </c>
      <c r="M1200" s="245">
        <f>IFERROR(Inv_SY!M1201/Inv_SY!$P1201-1,"")</f>
        <v>8.9549240483233206E-3</v>
      </c>
      <c r="N1200" s="245">
        <f>IFERROR(Inv_SY!N1201/Inv_SY!$P1201-1,"")</f>
        <v>-2.2802804240393604E-2</v>
      </c>
      <c r="O1200" s="245">
        <f>IFERROR(Inv_SY!O1201/Inv_SY!$P1201-1,"")</f>
        <v>-2.0272444069575402E-2</v>
      </c>
      <c r="P1200" s="245">
        <f>IFERROR(Inv_SY!J1201/Inv_SY!$Q1201-1,"")</f>
        <v>-2.3745021375958242E-2</v>
      </c>
      <c r="Q1200" s="245">
        <f>IFERROR(Inv_SY!K1201/Inv_SY!$Q1201-1,"")</f>
        <v>-1.3028175669800635E-2</v>
      </c>
      <c r="R1200" s="245">
        <f>IFERROR(Inv_SY!L1201/Inv_SY!$Q1201-1,"")</f>
        <v>0</v>
      </c>
      <c r="S1200" s="245">
        <f>IFERROR(Inv_SY!M1201/Inv_SY!$Q1201-1,"")</f>
        <v>-1.461974002622568E-2</v>
      </c>
      <c r="T1200" s="245">
        <f>IFERROR(Inv_SY!N1201/Inv_SY!$Q1201-1,"")</f>
        <v>-4.5635435387273882E-2</v>
      </c>
      <c r="U1200" s="246">
        <f>IFERROR(Inv_SY!O1201/Inv_SY!$Q1201-1,"")</f>
        <v>-4.3164198165948187E-2</v>
      </c>
    </row>
    <row r="1201" spans="1:21">
      <c r="A1201" s="259"/>
      <c r="B1201" s="259"/>
      <c r="C1201" s="259"/>
      <c r="D1201" s="259"/>
      <c r="E1201" s="259"/>
      <c r="F1201" s="260"/>
      <c r="G1201" s="259">
        <f t="shared" si="53"/>
        <v>31</v>
      </c>
      <c r="H1201" s="104">
        <f t="shared" si="54"/>
        <v>45851</v>
      </c>
      <c r="I1201" s="157">
        <f>_xlfn.XLOOKUP(Table5[[#This Row],[Month Year]],'Modelling New'!D:D,'Modelling New'!N:N)</f>
        <v>0</v>
      </c>
      <c r="J1201" s="261" t="str">
        <f>IFERROR(Inv_SY!J1202/Inv_SY!$P1202-1,"")</f>
        <v/>
      </c>
      <c r="K1201" s="261" t="str">
        <f>IFERROR(Inv_SY!K1202/Inv_SY!$P1202-1,"")</f>
        <v/>
      </c>
      <c r="L1201" s="261" t="str">
        <f>IFERROR(Inv_SY!L1202/Inv_SY!$P1202-1,"")</f>
        <v/>
      </c>
      <c r="M1201" s="245" t="str">
        <f>IFERROR(Inv_SY!M1202/Inv_SY!$P1202-1,"")</f>
        <v/>
      </c>
      <c r="N1201" s="245" t="str">
        <f>IFERROR(Inv_SY!N1202/Inv_SY!$P1202-1,"")</f>
        <v/>
      </c>
      <c r="O1201" s="245" t="str">
        <f>IFERROR(Inv_SY!O1202/Inv_SY!$P1202-1,"")</f>
        <v/>
      </c>
      <c r="P1201" s="245" t="str">
        <f>IFERROR(Inv_SY!J1202/Inv_SY!$Q1202-1,"")</f>
        <v/>
      </c>
      <c r="Q1201" s="245" t="str">
        <f>IFERROR(Inv_SY!K1202/Inv_SY!$Q1202-1,"")</f>
        <v/>
      </c>
      <c r="R1201" s="245" t="str">
        <f>IFERROR(Inv_SY!L1202/Inv_SY!$Q1202-1,"")</f>
        <v/>
      </c>
      <c r="S1201" s="245" t="str">
        <f>IFERROR(Inv_SY!M1202/Inv_SY!$Q1202-1,"")</f>
        <v/>
      </c>
      <c r="T1201" s="245" t="str">
        <f>IFERROR(Inv_SY!N1202/Inv_SY!$Q1202-1,"")</f>
        <v/>
      </c>
      <c r="U1201" s="246" t="str">
        <f>IFERROR(Inv_SY!O1202/Inv_SY!$Q1202-1,"")</f>
        <v/>
      </c>
    </row>
    <row r="1202" spans="1:21">
      <c r="A1202" s="259"/>
      <c r="B1202" s="259"/>
      <c r="C1202" s="259"/>
      <c r="D1202" s="259"/>
      <c r="E1202" s="259"/>
      <c r="F1202" s="260"/>
      <c r="G1202" s="259">
        <f t="shared" si="53"/>
        <v>31</v>
      </c>
      <c r="H1202" s="104">
        <f t="shared" si="54"/>
        <v>45852</v>
      </c>
      <c r="I1202" s="157">
        <f>_xlfn.XLOOKUP(Table5[[#This Row],[Month Year]],'Modelling New'!D:D,'Modelling New'!N:N)</f>
        <v>0</v>
      </c>
      <c r="J1202" s="261" t="str">
        <f>IFERROR(Inv_SY!J1203/Inv_SY!$P1203-1,"")</f>
        <v/>
      </c>
      <c r="K1202" s="261" t="str">
        <f>IFERROR(Inv_SY!K1203/Inv_SY!$P1203-1,"")</f>
        <v/>
      </c>
      <c r="L1202" s="261" t="str">
        <f>IFERROR(Inv_SY!L1203/Inv_SY!$P1203-1,"")</f>
        <v/>
      </c>
      <c r="M1202" s="245" t="str">
        <f>IFERROR(Inv_SY!M1203/Inv_SY!$P1203-1,"")</f>
        <v/>
      </c>
      <c r="N1202" s="245" t="str">
        <f>IFERROR(Inv_SY!N1203/Inv_SY!$P1203-1,"")</f>
        <v/>
      </c>
      <c r="O1202" s="245" t="str">
        <f>IFERROR(Inv_SY!O1203/Inv_SY!$P1203-1,"")</f>
        <v/>
      </c>
      <c r="P1202" s="245" t="str">
        <f>IFERROR(Inv_SY!J1203/Inv_SY!$Q1203-1,"")</f>
        <v/>
      </c>
      <c r="Q1202" s="245" t="str">
        <f>IFERROR(Inv_SY!K1203/Inv_SY!$Q1203-1,"")</f>
        <v/>
      </c>
      <c r="R1202" s="245" t="str">
        <f>IFERROR(Inv_SY!L1203/Inv_SY!$Q1203-1,"")</f>
        <v/>
      </c>
      <c r="S1202" s="245" t="str">
        <f>IFERROR(Inv_SY!M1203/Inv_SY!$Q1203-1,"")</f>
        <v/>
      </c>
      <c r="T1202" s="245" t="str">
        <f>IFERROR(Inv_SY!N1203/Inv_SY!$Q1203-1,"")</f>
        <v/>
      </c>
      <c r="U1202" s="246" t="str">
        <f>IFERROR(Inv_SY!O1203/Inv_SY!$Q1203-1,"")</f>
        <v/>
      </c>
    </row>
    <row r="1203" spans="1:21">
      <c r="A1203" s="259"/>
      <c r="B1203" s="259"/>
      <c r="C1203" s="259"/>
      <c r="D1203" s="259"/>
      <c r="E1203" s="259"/>
      <c r="F1203" s="260"/>
      <c r="G1203" s="259">
        <f t="shared" si="53"/>
        <v>31</v>
      </c>
      <c r="H1203" s="104">
        <f t="shared" si="54"/>
        <v>45853</v>
      </c>
      <c r="I1203" s="157">
        <f>_xlfn.XLOOKUP(Table5[[#This Row],[Month Year]],'Modelling New'!D:D,'Modelling New'!N:N)</f>
        <v>0</v>
      </c>
      <c r="J1203" s="261" t="str">
        <f>IFERROR(Inv_SY!J1204/Inv_SY!$P1204-1,"")</f>
        <v/>
      </c>
      <c r="K1203" s="261" t="str">
        <f>IFERROR(Inv_SY!K1204/Inv_SY!$P1204-1,"")</f>
        <v/>
      </c>
      <c r="L1203" s="261" t="str">
        <f>IFERROR(Inv_SY!L1204/Inv_SY!$P1204-1,"")</f>
        <v/>
      </c>
      <c r="M1203" s="261" t="str">
        <f>IFERROR(Inv_SY!M1204/Inv_SY!$P1204-1,"")</f>
        <v/>
      </c>
      <c r="N1203" s="261" t="str">
        <f>IFERROR(Inv_SY!N1204/Inv_SY!$P1204-1,"")</f>
        <v/>
      </c>
      <c r="O1203" s="261" t="str">
        <f>IFERROR(Inv_SY!O1204/Inv_SY!$P1204-1,"")</f>
        <v/>
      </c>
      <c r="P1203" s="261" t="str">
        <f>IFERROR(Inv_SY!J1204/Inv_SY!$Q1204-1,"")</f>
        <v/>
      </c>
      <c r="Q1203" s="261" t="str">
        <f>IFERROR(Inv_SY!K1204/Inv_SY!$Q1204-1,"")</f>
        <v/>
      </c>
      <c r="R1203" s="261" t="str">
        <f>IFERROR(Inv_SY!L1204/Inv_SY!$Q1204-1,"")</f>
        <v/>
      </c>
      <c r="S1203" s="261" t="str">
        <f>IFERROR(Inv_SY!M1204/Inv_SY!$Q1204-1,"")</f>
        <v/>
      </c>
      <c r="T1203" s="261" t="str">
        <f>IFERROR(Inv_SY!N1204/Inv_SY!$Q1204-1,"")</f>
        <v/>
      </c>
      <c r="U1203" s="262" t="str">
        <f>IFERROR(Inv_SY!O1204/Inv_SY!$Q1204-1,"")</f>
        <v/>
      </c>
    </row>
    <row r="1204" spans="1:21">
      <c r="A1204" s="259"/>
      <c r="B1204" s="259"/>
      <c r="C1204" s="259"/>
      <c r="D1204" s="259"/>
      <c r="E1204" s="259"/>
      <c r="F1204" s="260"/>
      <c r="G1204" s="259">
        <f t="shared" si="53"/>
        <v>31</v>
      </c>
      <c r="H1204" s="104">
        <f t="shared" si="54"/>
        <v>45854</v>
      </c>
      <c r="I1204" s="157">
        <f>_xlfn.XLOOKUP(Table5[[#This Row],[Month Year]],'Modelling New'!D:D,'Modelling New'!N:N)</f>
        <v>0</v>
      </c>
      <c r="J1204" s="261" t="str">
        <f>IFERROR(Inv_SY!J1205/Inv_SY!$P1205-1,"")</f>
        <v/>
      </c>
      <c r="K1204" s="261" t="str">
        <f>IFERROR(Inv_SY!K1205/Inv_SY!$P1205-1,"")</f>
        <v/>
      </c>
      <c r="L1204" s="261" t="str">
        <f>IFERROR(Inv_SY!L1205/Inv_SY!$P1205-1,"")</f>
        <v/>
      </c>
      <c r="M1204" s="261" t="str">
        <f>IFERROR(Inv_SY!M1205/Inv_SY!$P1205-1,"")</f>
        <v/>
      </c>
      <c r="N1204" s="261" t="str">
        <f>IFERROR(Inv_SY!N1205/Inv_SY!$P1205-1,"")</f>
        <v/>
      </c>
      <c r="O1204" s="261" t="str">
        <f>IFERROR(Inv_SY!O1205/Inv_SY!$P1205-1,"")</f>
        <v/>
      </c>
      <c r="P1204" s="261" t="str">
        <f>IFERROR(Inv_SY!J1205/Inv_SY!$Q1205-1,"")</f>
        <v/>
      </c>
      <c r="Q1204" s="261" t="str">
        <f>IFERROR(Inv_SY!K1205/Inv_SY!$Q1205-1,"")</f>
        <v/>
      </c>
      <c r="R1204" s="261" t="str">
        <f>IFERROR(Inv_SY!L1205/Inv_SY!$Q1205-1,"")</f>
        <v/>
      </c>
      <c r="S1204" s="261" t="str">
        <f>IFERROR(Inv_SY!M1205/Inv_SY!$Q1205-1,"")</f>
        <v/>
      </c>
      <c r="T1204" s="261" t="str">
        <f>IFERROR(Inv_SY!N1205/Inv_SY!$Q1205-1,"")</f>
        <v/>
      </c>
      <c r="U1204" s="262" t="str">
        <f>IFERROR(Inv_SY!O1205/Inv_SY!$Q1205-1,"")</f>
        <v/>
      </c>
    </row>
    <row r="1205" spans="1:21">
      <c r="A1205" s="259"/>
      <c r="B1205" s="259"/>
      <c r="C1205" s="259"/>
      <c r="D1205" s="259"/>
      <c r="E1205" s="259"/>
      <c r="F1205" s="260"/>
      <c r="G1205" s="259">
        <f t="shared" si="53"/>
        <v>31</v>
      </c>
      <c r="H1205" s="104">
        <f t="shared" si="54"/>
        <v>45855</v>
      </c>
      <c r="I1205" s="157">
        <f>_xlfn.XLOOKUP(Table5[[#This Row],[Month Year]],'Modelling New'!D:D,'Modelling New'!N:N)</f>
        <v>0</v>
      </c>
      <c r="J1205" s="261" t="str">
        <f>IFERROR(Inv_SY!J1206/Inv_SY!$P1206-1,"")</f>
        <v/>
      </c>
      <c r="K1205" s="261" t="str">
        <f>IFERROR(Inv_SY!K1206/Inv_SY!$P1206-1,"")</f>
        <v/>
      </c>
      <c r="L1205" s="261" t="str">
        <f>IFERROR(Inv_SY!L1206/Inv_SY!$P1206-1,"")</f>
        <v/>
      </c>
      <c r="M1205" s="261" t="str">
        <f>IFERROR(Inv_SY!M1206/Inv_SY!$P1206-1,"")</f>
        <v/>
      </c>
      <c r="N1205" s="261" t="str">
        <f>IFERROR(Inv_SY!N1206/Inv_SY!$P1206-1,"")</f>
        <v/>
      </c>
      <c r="O1205" s="261" t="str">
        <f>IFERROR(Inv_SY!O1206/Inv_SY!$P1206-1,"")</f>
        <v/>
      </c>
      <c r="P1205" s="261" t="str">
        <f>IFERROR(Inv_SY!J1206/Inv_SY!$Q1206-1,"")</f>
        <v/>
      </c>
      <c r="Q1205" s="261" t="str">
        <f>IFERROR(Inv_SY!K1206/Inv_SY!$Q1206-1,"")</f>
        <v/>
      </c>
      <c r="R1205" s="261" t="str">
        <f>IFERROR(Inv_SY!L1206/Inv_SY!$Q1206-1,"")</f>
        <v/>
      </c>
      <c r="S1205" s="261" t="str">
        <f>IFERROR(Inv_SY!M1206/Inv_SY!$Q1206-1,"")</f>
        <v/>
      </c>
      <c r="T1205" s="261" t="str">
        <f>IFERROR(Inv_SY!N1206/Inv_SY!$Q1206-1,"")</f>
        <v/>
      </c>
      <c r="U1205" s="262" t="str">
        <f>IFERROR(Inv_SY!O1206/Inv_SY!$Q1206-1,"")</f>
        <v/>
      </c>
    </row>
    <row r="1206" spans="1:21">
      <c r="A1206" s="259"/>
      <c r="B1206" s="259"/>
      <c r="C1206" s="259"/>
      <c r="D1206" s="259"/>
      <c r="E1206" s="259"/>
      <c r="F1206" s="260"/>
      <c r="G1206" s="259">
        <f t="shared" si="53"/>
        <v>31</v>
      </c>
      <c r="H1206" s="104">
        <f t="shared" si="54"/>
        <v>45856</v>
      </c>
      <c r="I1206" s="157">
        <f>_xlfn.XLOOKUP(Table5[[#This Row],[Month Year]],'Modelling New'!D:D,'Modelling New'!N:N)</f>
        <v>0</v>
      </c>
      <c r="J1206" s="261" t="str">
        <f>IFERROR(Inv_SY!J1207/Inv_SY!$P1207-1,"")</f>
        <v/>
      </c>
      <c r="K1206" s="261" t="str">
        <f>IFERROR(Inv_SY!K1207/Inv_SY!$P1207-1,"")</f>
        <v/>
      </c>
      <c r="L1206" s="261" t="str">
        <f>IFERROR(Inv_SY!L1207/Inv_SY!$P1207-1,"")</f>
        <v/>
      </c>
      <c r="M1206" s="261" t="str">
        <f>IFERROR(Inv_SY!M1207/Inv_SY!$P1207-1,"")</f>
        <v/>
      </c>
      <c r="N1206" s="261" t="str">
        <f>IFERROR(Inv_SY!N1207/Inv_SY!$P1207-1,"")</f>
        <v/>
      </c>
      <c r="O1206" s="261" t="str">
        <f>IFERROR(Inv_SY!O1207/Inv_SY!$P1207-1,"")</f>
        <v/>
      </c>
      <c r="P1206" s="261" t="str">
        <f>IFERROR(Inv_SY!J1207/Inv_SY!$Q1207-1,"")</f>
        <v/>
      </c>
      <c r="Q1206" s="261" t="str">
        <f>IFERROR(Inv_SY!K1207/Inv_SY!$Q1207-1,"")</f>
        <v/>
      </c>
      <c r="R1206" s="261" t="str">
        <f>IFERROR(Inv_SY!L1207/Inv_SY!$Q1207-1,"")</f>
        <v/>
      </c>
      <c r="S1206" s="261" t="str">
        <f>IFERROR(Inv_SY!M1207/Inv_SY!$Q1207-1,"")</f>
        <v/>
      </c>
      <c r="T1206" s="261" t="str">
        <f>IFERROR(Inv_SY!N1207/Inv_SY!$Q1207-1,"")</f>
        <v/>
      </c>
      <c r="U1206" s="262" t="str">
        <f>IFERROR(Inv_SY!O1207/Inv_SY!$Q1207-1,"")</f>
        <v/>
      </c>
    </row>
    <row r="1207" spans="1:21">
      <c r="A1207" s="259"/>
      <c r="B1207" s="259"/>
      <c r="C1207" s="259"/>
      <c r="D1207" s="259"/>
      <c r="E1207" s="259"/>
      <c r="F1207" s="260"/>
      <c r="G1207" s="259">
        <f t="shared" si="53"/>
        <v>31</v>
      </c>
      <c r="H1207" s="104">
        <f t="shared" si="54"/>
        <v>45857</v>
      </c>
      <c r="I1207" s="157">
        <f>_xlfn.XLOOKUP(Table5[[#This Row],[Month Year]],'Modelling New'!D:D,'Modelling New'!N:N)</f>
        <v>0</v>
      </c>
      <c r="J1207" s="261" t="str">
        <f>IFERROR(Inv_SY!J1208/Inv_SY!$P1208-1,"")</f>
        <v/>
      </c>
      <c r="K1207" s="261" t="str">
        <f>IFERROR(Inv_SY!K1208/Inv_SY!$P1208-1,"")</f>
        <v/>
      </c>
      <c r="L1207" s="261" t="str">
        <f>IFERROR(Inv_SY!L1208/Inv_SY!$P1208-1,"")</f>
        <v/>
      </c>
      <c r="M1207" s="261" t="str">
        <f>IFERROR(Inv_SY!M1208/Inv_SY!$P1208-1,"")</f>
        <v/>
      </c>
      <c r="N1207" s="261" t="str">
        <f>IFERROR(Inv_SY!N1208/Inv_SY!$P1208-1,"")</f>
        <v/>
      </c>
      <c r="O1207" s="261" t="str">
        <f>IFERROR(Inv_SY!O1208/Inv_SY!$P1208-1,"")</f>
        <v/>
      </c>
      <c r="P1207" s="261" t="str">
        <f>IFERROR(Inv_SY!J1208/Inv_SY!$Q1208-1,"")</f>
        <v/>
      </c>
      <c r="Q1207" s="261" t="str">
        <f>IFERROR(Inv_SY!K1208/Inv_SY!$Q1208-1,"")</f>
        <v/>
      </c>
      <c r="R1207" s="261" t="str">
        <f>IFERROR(Inv_SY!L1208/Inv_SY!$Q1208-1,"")</f>
        <v/>
      </c>
      <c r="S1207" s="261" t="str">
        <f>IFERROR(Inv_SY!M1208/Inv_SY!$Q1208-1,"")</f>
        <v/>
      </c>
      <c r="T1207" s="261" t="str">
        <f>IFERROR(Inv_SY!N1208/Inv_SY!$Q1208-1,"")</f>
        <v/>
      </c>
      <c r="U1207" s="262" t="str">
        <f>IFERROR(Inv_SY!O1208/Inv_SY!$Q1208-1,"")</f>
        <v/>
      </c>
    </row>
    <row r="1208" spans="1:21">
      <c r="A1208" s="259"/>
      <c r="B1208" s="259"/>
      <c r="C1208" s="259"/>
      <c r="D1208" s="259"/>
      <c r="E1208" s="259"/>
      <c r="F1208" s="260"/>
      <c r="G1208" s="259">
        <f t="shared" si="53"/>
        <v>31</v>
      </c>
      <c r="H1208" s="104">
        <f t="shared" si="54"/>
        <v>45858</v>
      </c>
      <c r="I1208" s="157">
        <f>_xlfn.XLOOKUP(Table5[[#This Row],[Month Year]],'Modelling New'!D:D,'Modelling New'!N:N)</f>
        <v>0</v>
      </c>
      <c r="J1208" s="261" t="str">
        <f>IFERROR(Inv_SY!J1209/Inv_SY!$P1209-1,"")</f>
        <v/>
      </c>
      <c r="K1208" s="261" t="str">
        <f>IFERROR(Inv_SY!K1209/Inv_SY!$P1209-1,"")</f>
        <v/>
      </c>
      <c r="L1208" s="261" t="str">
        <f>IFERROR(Inv_SY!L1209/Inv_SY!$P1209-1,"")</f>
        <v/>
      </c>
      <c r="M1208" s="261" t="str">
        <f>IFERROR(Inv_SY!M1209/Inv_SY!$P1209-1,"")</f>
        <v/>
      </c>
      <c r="N1208" s="261" t="str">
        <f>IFERROR(Inv_SY!N1209/Inv_SY!$P1209-1,"")</f>
        <v/>
      </c>
      <c r="O1208" s="261" t="str">
        <f>IFERROR(Inv_SY!O1209/Inv_SY!$P1209-1,"")</f>
        <v/>
      </c>
      <c r="P1208" s="261" t="str">
        <f>IFERROR(Inv_SY!J1209/Inv_SY!$Q1209-1,"")</f>
        <v/>
      </c>
      <c r="Q1208" s="261" t="str">
        <f>IFERROR(Inv_SY!K1209/Inv_SY!$Q1209-1,"")</f>
        <v/>
      </c>
      <c r="R1208" s="261" t="str">
        <f>IFERROR(Inv_SY!L1209/Inv_SY!$Q1209-1,"")</f>
        <v/>
      </c>
      <c r="S1208" s="261" t="str">
        <f>IFERROR(Inv_SY!M1209/Inv_SY!$Q1209-1,"")</f>
        <v/>
      </c>
      <c r="T1208" s="261" t="str">
        <f>IFERROR(Inv_SY!N1209/Inv_SY!$Q1209-1,"")</f>
        <v/>
      </c>
      <c r="U1208" s="262" t="str">
        <f>IFERROR(Inv_SY!O1209/Inv_SY!$Q1209-1,"")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2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5"/>
  <sheetViews>
    <sheetView zoomScaleNormal="100" workbookViewId="0">
      <pane xSplit="8" ySplit="3" topLeftCell="Y105" activePane="bottomRight" state="frozen"/>
      <selection activeCell="I9" sqref="I9"/>
      <selection pane="topRight" activeCell="I9" sqref="I9"/>
      <selection pane="bottomLeft" activeCell="I9" sqref="I9"/>
      <selection pane="bottomRight" activeCell="AF115" sqref="AF115"/>
    </sheetView>
  </sheetViews>
  <sheetFormatPr defaultColWidth="9" defaultRowHeight="14.4"/>
  <cols>
    <col min="2" max="2" width="9.44140625" style="2" customWidth="1"/>
    <col min="3" max="7" width="8.5546875" style="2"/>
    <col min="8" max="11" width="10.44140625" style="2" customWidth="1"/>
    <col min="12" max="12" width="20" style="2" customWidth="1"/>
    <col min="13" max="13" width="8.5546875" style="2"/>
    <col min="14" max="14" width="9" customWidth="1"/>
    <col min="15" max="15" width="9.109375" customWidth="1"/>
    <col min="16" max="16" width="8.5546875" style="2"/>
    <col min="19" max="19" width="16.88671875" style="2" bestFit="1" customWidth="1"/>
    <col min="20" max="20" width="13.44140625" customWidth="1"/>
    <col min="21" max="21" width="21.44140625" customWidth="1"/>
    <col min="22" max="22" width="26.5546875" customWidth="1"/>
    <col min="23" max="23" width="10.44140625" style="2" customWidth="1"/>
    <col min="24" max="24" width="10.44140625" customWidth="1"/>
    <col min="25" max="25" width="9.5546875" style="2" customWidth="1"/>
    <col min="26" max="26" width="10.44140625" style="2" customWidth="1"/>
    <col min="27" max="27" width="10.109375" style="2" hidden="1" customWidth="1"/>
    <col min="28" max="28" width="0" style="2" hidden="1" customWidth="1"/>
    <col min="29" max="30" width="8.88671875" style="2" customWidth="1"/>
    <col min="31" max="31" width="61.44140625" customWidth="1"/>
    <col min="32" max="32" width="11.44140625" customWidth="1"/>
    <col min="33" max="33" width="13.44140625" customWidth="1"/>
    <col min="34" max="34" width="16.109375" customWidth="1"/>
    <col min="35" max="35" width="11.88671875" customWidth="1"/>
    <col min="36" max="36" width="63.44140625" customWidth="1"/>
    <col min="37" max="37" width="55" customWidth="1"/>
  </cols>
  <sheetData>
    <row r="3" spans="1:38" ht="36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7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7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7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7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7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7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0" t="s">
        <v>185</v>
      </c>
      <c r="P105" s="2" t="s">
        <v>263</v>
      </c>
      <c r="Q105" s="2" t="s">
        <v>263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2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2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2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0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8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8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8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8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  <row r="115" spans="1:35">
      <c r="A115" s="2">
        <v>112</v>
      </c>
      <c r="B115" s="2" t="s">
        <v>4</v>
      </c>
      <c r="C115" s="2">
        <v>2025</v>
      </c>
      <c r="D115" s="2" t="s">
        <v>211</v>
      </c>
      <c r="E115" s="2" t="s">
        <v>211</v>
      </c>
      <c r="F115" s="36">
        <v>45839</v>
      </c>
      <c r="G115" s="2">
        <f>DAY(EOMONTH(Tracker_BD[[#This Row],[Month Year]],0))</f>
        <v>31</v>
      </c>
      <c r="H115" s="37">
        <v>45851</v>
      </c>
      <c r="I115" s="39">
        <f>IFERROR(VLOOKUP(Tracker_BD[[#This Row],[Date]],Raw_Data[[Date]:[Sunset Time (POA&lt;20 W/m2)]],3,0),"")</f>
        <v>0.25972222222222224</v>
      </c>
      <c r="J115" s="39">
        <f>IFERROR(VLOOKUP(Tracker_BD[[#This Row],[Date]],Raw_Data[[Date]:[Sunset Time (POA&lt;20 W/m2)]],4,0),"")</f>
        <v>0.77777777777777779</v>
      </c>
      <c r="K115" s="33">
        <f>IFERROR((Tracker_BD[[#This Row],[Sunset Time (POA&lt;20 W/m2)]]-Tracker_BD[[#This Row],[Sunrise Time (POA&gt;20 W/m2)]])*24,"")</f>
        <v>12.433333333333332</v>
      </c>
      <c r="L115" s="2" t="s">
        <v>267</v>
      </c>
      <c r="M115" s="177"/>
      <c r="N115">
        <v>0</v>
      </c>
      <c r="O115" s="264" t="s">
        <v>189</v>
      </c>
      <c r="P115" s="2" t="s">
        <v>263</v>
      </c>
      <c r="Q115" s="2" t="s">
        <v>270</v>
      </c>
      <c r="R115">
        <v>7</v>
      </c>
      <c r="S115" s="2" t="s">
        <v>1689</v>
      </c>
      <c r="T115" t="s">
        <v>269</v>
      </c>
      <c r="U115" t="s">
        <v>293</v>
      </c>
      <c r="V115" t="s">
        <v>293</v>
      </c>
      <c r="W115" s="39">
        <v>0.84722222222222221</v>
      </c>
      <c r="X115" s="39">
        <v>0.84722222222222221</v>
      </c>
      <c r="Y115" s="39">
        <v>0.84722222222222221</v>
      </c>
      <c r="Z115" s="39">
        <v>0.8569444444444444</v>
      </c>
      <c r="AA115" s="33">
        <f>IF(Tracker_BD[[#This Row],[Fault Acknowledgement Time ]]="NA","",(Tracker_BD[[#This Row],[Fault Acknowledgement Time ]]-Tracker_BD[[#This Row],[Fault Time]])*24)</f>
        <v>0</v>
      </c>
      <c r="AB115" s="33">
        <f>IFERROR((Tracker_BD[[#This Row],[Work Start time on Fault]]-Tracker_BD[[#This Row],[Fault Time]])*24,"")</f>
        <v>0</v>
      </c>
      <c r="AC115" s="33">
        <f>IFERROR((Tracker_BD[[#This Row],[Work Completion time on fault]]-Tracker_BD[[#This Row],[Fault Time]])*24,"")</f>
        <v>0.2333333333333325</v>
      </c>
      <c r="AD115" s="33">
        <f>IFERROR((Tracker_BD[[#This Row],[Work Completion time on fault]]-Tracker_BD[[#This Row],[Fault Time]])*24,"")</f>
        <v>0.2333333333333325</v>
      </c>
      <c r="AE115" t="s">
        <v>372</v>
      </c>
      <c r="AF115" t="s">
        <v>266</v>
      </c>
      <c r="AG115" s="2"/>
      <c r="AH115" s="100"/>
      <c r="AI115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Q28" activePane="bottomRight" state="frozen"/>
      <selection activeCell="I9" sqref="I9"/>
      <selection pane="topRight" activeCell="I9" sqref="I9"/>
      <selection pane="bottomLeft" activeCell="I9" sqref="I9"/>
      <selection pane="bottomRight" activeCell="U38" sqref="U38:V38"/>
    </sheetView>
  </sheetViews>
  <sheetFormatPr defaultColWidth="9" defaultRowHeight="14.4"/>
  <cols>
    <col min="1" max="1" width="9" style="2" customWidth="1"/>
    <col min="2" max="2" width="9.88671875" customWidth="1"/>
    <col min="3" max="7" width="9" customWidth="1"/>
    <col min="8" max="11" width="10.109375" customWidth="1"/>
    <col min="12" max="12" width="12.88671875" style="41" customWidth="1"/>
    <col min="13" max="13" width="11.109375" style="2" customWidth="1"/>
    <col min="14" max="14" width="11.109375" customWidth="1"/>
    <col min="15" max="15" width="27.109375" style="3" bestFit="1" customWidth="1"/>
    <col min="16" max="16" width="13.88671875" customWidth="1"/>
    <col min="17" max="17" width="21.88671875" customWidth="1"/>
    <col min="18" max="18" width="42" customWidth="1"/>
    <col min="19" max="19" width="9.88671875" customWidth="1"/>
    <col min="20" max="20" width="11.44140625" customWidth="1"/>
    <col min="21" max="21" width="9.88671875" customWidth="1"/>
    <col min="22" max="22" width="12" customWidth="1"/>
    <col min="23" max="23" width="10" style="2" customWidth="1"/>
    <col min="24" max="24" width="10.44140625" style="2" customWidth="1"/>
    <col min="25" max="26" width="10.109375" style="2" customWidth="1"/>
    <col min="27" max="27" width="29.44140625" style="2" customWidth="1"/>
    <col min="28" max="30" width="9.88671875" style="2" customWidth="1"/>
    <col min="31" max="31" width="13.441406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1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B38" s="1" t="s">
        <v>4</v>
      </c>
      <c r="C38" s="1">
        <v>2025</v>
      </c>
      <c r="D38" s="1" t="s">
        <v>211</v>
      </c>
      <c r="E38" s="1" t="s">
        <v>211</v>
      </c>
      <c r="F38" s="23">
        <v>45839</v>
      </c>
      <c r="G38">
        <v>30</v>
      </c>
      <c r="H38" s="24">
        <v>45849</v>
      </c>
      <c r="I38" s="25">
        <f>IFERROR(VLOOKUP(PA[[#This Row],[Date]],Raw_Data[[Date]:[Sunset Time (POA&lt;20 W/m2)]],3,0),"")</f>
        <v>0.25694444444444442</v>
      </c>
      <c r="J38" s="25">
        <f>IFERROR(VLOOKUP(PA[[#This Row],[Date]],Raw_Data[[Date]:[Sunset Time (POA&lt;20 W/m2)]],4,0),"")</f>
        <v>0.77152777777777781</v>
      </c>
      <c r="K38" s="26">
        <f>IFERROR((PA[[#This Row],[Sunset Time (POA&lt;20 W/m2)]]-PA[[#This Row],[Sunrise Time (POA&gt;20 W/m2)]])*24,"")</f>
        <v>12.350000000000001</v>
      </c>
      <c r="L38" s="41" t="s">
        <v>185</v>
      </c>
      <c r="M38" s="45">
        <f>IFERROR(VLOOKUP(PA[[#This Row],[Affceted Equipment]],'Basic Data'!$A$2:$B$116,2,0),"")</f>
        <v>1833.3</v>
      </c>
      <c r="N38" s="46">
        <v>0.17449530281830902</v>
      </c>
      <c r="O38" s="41" t="s">
        <v>185</v>
      </c>
      <c r="P38" t="s">
        <v>443</v>
      </c>
      <c r="Q38" t="s">
        <v>733</v>
      </c>
      <c r="R38" t="s">
        <v>733</v>
      </c>
      <c r="S38" s="22">
        <v>0.55069444444444449</v>
      </c>
      <c r="T38" s="22">
        <v>0.55069444444444449</v>
      </c>
      <c r="U38" s="22">
        <v>0.55069444444444449</v>
      </c>
      <c r="V38" s="22">
        <v>0.56180555555555556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0.26666666666666572</v>
      </c>
      <c r="Z38" s="33">
        <f>IFERROR((PA[[#This Row],[Work Completiuon time on fualt]]-PA[[#This Row],[Fault Time]])*24,"")</f>
        <v>0.26666666666666572</v>
      </c>
      <c r="AA38" s="2" t="s">
        <v>734</v>
      </c>
      <c r="AB38" s="17" t="s">
        <v>266</v>
      </c>
      <c r="AC38" s="47">
        <f>IFERROR(PA[[#This Row],[Breakdown Time]]*PA[[#This Row],[Plant Equivalent Weightage]],"")</f>
        <v>4.653208075154891E-2</v>
      </c>
      <c r="AD38" s="2">
        <v>0.22</v>
      </c>
      <c r="AE38" s="2">
        <v>120</v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 P39:P401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 L39:L401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R8" activePane="bottomRight" state="frozen"/>
      <selection activeCell="I9" sqref="I9"/>
      <selection pane="topRight" activeCell="I9" sqref="I9"/>
      <selection pane="bottomLeft" activeCell="I9" sqref="I9"/>
      <selection pane="bottomRight" activeCell="AB11" sqref="AB11:AB12"/>
    </sheetView>
  </sheetViews>
  <sheetFormatPr defaultColWidth="9" defaultRowHeight="14.4"/>
  <cols>
    <col min="2" max="2" width="9.44140625" customWidth="1"/>
    <col min="3" max="3" width="8.5546875" style="2"/>
    <col min="7" max="7" width="8.5546875" style="2"/>
    <col min="8" max="8" width="15.44140625" customWidth="1"/>
    <col min="9" max="9" width="10.109375" customWidth="1"/>
    <col min="10" max="10" width="10.88671875" bestFit="1" customWidth="1"/>
    <col min="11" max="11" width="8.5546875" style="2"/>
    <col min="13" max="13" width="11.88671875" style="2" customWidth="1"/>
    <col min="14" max="14" width="11.109375" customWidth="1"/>
    <col min="15" max="16" width="11.44140625" customWidth="1"/>
    <col min="17" max="17" width="12" customWidth="1"/>
    <col min="18" max="18" width="22.88671875" customWidth="1"/>
    <col min="25" max="25" width="9.44140625" customWidth="1"/>
    <col min="26" max="26" width="24.5546875" customWidth="1"/>
    <col min="29" max="29" width="11.44140625" customWidth="1"/>
    <col min="30" max="30" width="16.5546875" customWidth="1"/>
  </cols>
  <sheetData>
    <row r="1" spans="1:30" hidden="1"/>
    <row r="2" spans="1:30" ht="72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28.8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28.8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28.8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28.8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43.2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39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57.6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7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57.6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7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43.2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 t="str">
        <f>IFERROR(VLOOKUP(GA[[#This Row],[Affceted Equipment]],'Basic Data'!A111:B225,2,0),"")</f>
        <v/>
      </c>
      <c r="P11" s="28" t="str">
        <f>IFERROR(VLOOKUP(GA[[#This Row],[Affceted Equipment]],'Basic Data'!A112:C230,3,0),"")</f>
        <v/>
      </c>
      <c r="Q11" s="2"/>
      <c r="R11" s="255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43.2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 t="str">
        <f>IFERROR(VLOOKUP(GA[[#This Row],[Affceted Equipment]],'Basic Data'!A112:B226,2,0),"")</f>
        <v/>
      </c>
      <c r="P12" s="28" t="str">
        <f>IFERROR(VLOOKUP(GA[[#This Row],[Affceted Equipment]],'Basic Data'!A113:C231,3,0),"")</f>
        <v/>
      </c>
      <c r="Q12" s="2"/>
      <c r="R12" s="255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33">
        <f>(GA[[#This Row],[Work Completiuon time on fualt]]-GA[[#This Row],[Fault Time]])*24</f>
        <v>0</v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202"/>
  <sheetViews>
    <sheetView topLeftCell="A2" zoomScale="82" zoomScaleNormal="82" workbookViewId="0">
      <pane xSplit="8" ySplit="1" topLeftCell="K1187" activePane="bottomRight" state="frozen"/>
      <selection activeCell="I9" sqref="I9"/>
      <selection pane="topRight" activeCell="I9" sqref="I9"/>
      <selection pane="bottomLeft" activeCell="I9" sqref="I9"/>
      <selection pane="bottomRight" activeCell="U1202" sqref="U1202"/>
    </sheetView>
  </sheetViews>
  <sheetFormatPr defaultColWidth="9" defaultRowHeight="14.4"/>
  <cols>
    <col min="1" max="1" width="8.5546875" style="2"/>
    <col min="2" max="2" width="11.44140625" style="2" customWidth="1"/>
    <col min="3" max="3" width="12.44140625" style="2" customWidth="1"/>
    <col min="4" max="4" width="14.109375" style="2" customWidth="1"/>
    <col min="5" max="5" width="13" style="2" customWidth="1"/>
    <col min="6" max="6" width="10.88671875" style="2" customWidth="1"/>
    <col min="7" max="7" width="8.5546875" style="2"/>
    <col min="8" max="8" width="10.44140625" style="2" customWidth="1"/>
    <col min="9" max="9" width="12.44140625" customWidth="1"/>
    <col min="10" max="10" width="9.5546875" customWidth="1"/>
    <col min="11" max="16" width="9.88671875" style="2" customWidth="1"/>
    <col min="17" max="17" width="12.44140625" style="2" customWidth="1"/>
    <col min="18" max="18" width="13" customWidth="1"/>
    <col min="19" max="19" width="12.44140625" customWidth="1"/>
    <col min="20" max="20" width="13.44140625" customWidth="1"/>
    <col min="21" max="21" width="9.88671875" customWidth="1"/>
    <col min="22" max="22" width="10.44140625" customWidth="1"/>
    <col min="23" max="23" width="7" bestFit="1" customWidth="1"/>
    <col min="24" max="24" width="123.44140625" bestFit="1" customWidth="1"/>
  </cols>
  <sheetData>
    <row r="1" spans="1:24" hidden="1"/>
    <row r="2" spans="1:24" s="1" customFormat="1" ht="43.2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201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4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4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4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4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4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4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4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4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4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4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4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4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  <c r="X1196" t="s">
        <v>1685</v>
      </c>
    </row>
    <row r="1197" spans="1:24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18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4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18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4">
      <c r="A1199" s="2">
        <v>1194</v>
      </c>
      <c r="B1199" s="2" t="s">
        <v>212</v>
      </c>
      <c r="C1199" s="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18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  <row r="1200" spans="1:24">
      <c r="A1200" s="2">
        <v>1195</v>
      </c>
      <c r="B1200" s="2" t="s">
        <v>212</v>
      </c>
      <c r="C1200" s="2">
        <f>YEAR(MC[[#This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ref="G1200" si="219">DAY(EOMONTH(F1200,0))</f>
        <v>31</v>
      </c>
      <c r="H1200" s="19">
        <f t="shared" si="203"/>
        <v>45849</v>
      </c>
      <c r="I1200">
        <v>18</v>
      </c>
      <c r="J1200">
        <v>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2140</v>
      </c>
      <c r="Q1200" s="2">
        <f>SUM(MC[[#This Row],[IC1_Inv1_MC]:[IC2_Inv2_MC]])</f>
        <v>2140</v>
      </c>
      <c r="R1200" s="22">
        <v>0.25</v>
      </c>
      <c r="S1200" s="22">
        <v>0.41666666666666669</v>
      </c>
      <c r="T1200" s="22">
        <v>0.60416666666666663</v>
      </c>
      <c r="U1200" s="22">
        <v>0.77083333333333337</v>
      </c>
      <c r="V1200" t="s">
        <v>927</v>
      </c>
    </row>
    <row r="1201" spans="1:22">
      <c r="A1201" s="2">
        <v>1196</v>
      </c>
      <c r="B1201" s="2" t="s">
        <v>212</v>
      </c>
      <c r="C1201" s="2">
        <f>YEAR(MC[[#This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ref="G1201" si="220">DAY(EOMONTH(F1201,0))</f>
        <v>31</v>
      </c>
      <c r="H1201" s="19">
        <f t="shared" si="203"/>
        <v>45850</v>
      </c>
      <c r="I1201">
        <v>18</v>
      </c>
      <c r="J1201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1132</v>
      </c>
      <c r="Q1201" s="2">
        <f>SUM(MC[[#This Row],[IC1_Inv1_MC]:[IC2_Inv2_MC]])</f>
        <v>1132</v>
      </c>
      <c r="R1201" s="22">
        <v>0.25</v>
      </c>
      <c r="S1201" s="22">
        <v>0.41666666666666669</v>
      </c>
      <c r="V1201" t="s">
        <v>927</v>
      </c>
    </row>
    <row r="1202" spans="1:22">
      <c r="A1202" s="2">
        <v>1197</v>
      </c>
      <c r="B1202" s="2" t="s">
        <v>212</v>
      </c>
      <c r="C1202" s="2">
        <f>YEAR(MC[[#This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18</v>
      </c>
      <c r="J1202">
        <v>2</v>
      </c>
      <c r="K1202" s="2">
        <v>2096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f>SUM(MC[[#This Row],[IC1_Inv1_MC]:[IC2_Inv2_MC]])</f>
        <v>2096</v>
      </c>
      <c r="R1202" s="22">
        <v>0.25</v>
      </c>
      <c r="S1202" s="22">
        <v>0.41666666666666669</v>
      </c>
      <c r="T1202" s="22">
        <v>0.60416666666666663</v>
      </c>
      <c r="U1202" s="22">
        <v>0.60416666666666663</v>
      </c>
      <c r="V1202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2"/>
  <sheetViews>
    <sheetView topLeftCell="A2" zoomScale="85" zoomScaleNormal="85" workbookViewId="0">
      <pane xSplit="8" ySplit="1" topLeftCell="K1189" activePane="bottomRight" state="frozen"/>
      <selection activeCell="I9" sqref="I9"/>
      <selection pane="topRight" activeCell="I9" sqref="I9"/>
      <selection pane="bottomLeft" activeCell="I9" sqref="I9"/>
      <selection pane="bottomRight" activeCell="P1202" sqref="P1202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4.88671875" customWidth="1"/>
    <col min="8" max="8" width="10.44140625" customWidth="1"/>
    <col min="10" max="10" width="9.44140625" customWidth="1"/>
    <col min="17" max="17" width="12.44140625" customWidth="1"/>
    <col min="18" max="18" width="64.44140625" bestFit="1" customWidth="1"/>
    <col min="19" max="19" width="19.88671875" customWidth="1"/>
  </cols>
  <sheetData>
    <row r="1" spans="1:19" hidden="1"/>
    <row r="2" spans="1:19" ht="28.8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0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0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3" t="s">
        <v>1680</v>
      </c>
    </row>
    <row r="1198" spans="1:18">
      <c r="A1198" s="2">
        <v>1214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>DAY(EOMONTH(F1198,0))</f>
        <v>31</v>
      </c>
      <c r="H1198" s="19">
        <f>H1197+1</f>
        <v>45847</v>
      </c>
      <c r="I1198">
        <v>1</v>
      </c>
      <c r="J1198">
        <v>2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4" t="s">
        <v>1681</v>
      </c>
    </row>
    <row r="1199" spans="1:18">
      <c r="A1199" s="2">
        <v>1215</v>
      </c>
      <c r="B1199" s="2" t="s">
        <v>4</v>
      </c>
      <c r="C1199" s="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>DAY(EOMONTH(F1199,0))</f>
        <v>31</v>
      </c>
      <c r="H1199" s="19">
        <f>H1198+1</f>
        <v>45848</v>
      </c>
      <c r="I1199">
        <v>1</v>
      </c>
      <c r="J1199" s="256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">
        <f>SUM(GC[[#This Row],[IC1_Inv1_GC]:[IC2_Inv2_GC]])</f>
        <v>16</v>
      </c>
      <c r="R1199" s="257" t="s">
        <v>1684</v>
      </c>
    </row>
    <row r="1200" spans="1:18">
      <c r="A1200" s="2">
        <v>1216</v>
      </c>
      <c r="B1200" s="2" t="s">
        <v>4</v>
      </c>
      <c r="C1200" s="2">
        <f>YEAR(GC[[#This Row],[Date]])</f>
        <v>2025</v>
      </c>
      <c r="D1200" s="2" t="s">
        <v>211</v>
      </c>
      <c r="E1200" s="2" t="s">
        <v>211</v>
      </c>
      <c r="F1200" s="18">
        <v>45839</v>
      </c>
      <c r="G1200" s="2">
        <f>DAY(EOMONTH(F1200,0))</f>
        <v>31</v>
      </c>
      <c r="H1200" s="19">
        <f>H1199+1</f>
        <v>45849</v>
      </c>
      <c r="I1200">
        <v>1</v>
      </c>
      <c r="J1200">
        <v>2</v>
      </c>
      <c r="K1200">
        <v>0</v>
      </c>
      <c r="L1200">
        <v>13</v>
      </c>
      <c r="M1200">
        <v>0</v>
      </c>
      <c r="N1200">
        <v>0</v>
      </c>
      <c r="O1200">
        <v>0</v>
      </c>
      <c r="P1200">
        <v>0</v>
      </c>
      <c r="Q1200" s="2">
        <f>SUM(GC[[#This Row],[IC1_Inv1_GC]:[IC2_Inv2_GC]])</f>
        <v>13</v>
      </c>
      <c r="R1200" s="258" t="s">
        <v>1686</v>
      </c>
    </row>
    <row r="1201" spans="1:18">
      <c r="A1201" s="2">
        <v>1217</v>
      </c>
      <c r="B1201" s="2" t="s">
        <v>4</v>
      </c>
      <c r="C1201" s="2">
        <f>YEAR(GC[[#This Row],[Date]])</f>
        <v>2025</v>
      </c>
      <c r="D1201" s="2" t="s">
        <v>211</v>
      </c>
      <c r="E1201" s="2" t="s">
        <v>211</v>
      </c>
      <c r="F1201" s="18">
        <v>45839</v>
      </c>
      <c r="G1201" s="2">
        <f>DAY(EOMONTH(F1201,0))</f>
        <v>31</v>
      </c>
      <c r="H1201" s="19">
        <f>H1200+1</f>
        <v>45850</v>
      </c>
      <c r="I1201">
        <v>1</v>
      </c>
      <c r="J1201">
        <v>2</v>
      </c>
      <c r="K1201">
        <v>0</v>
      </c>
      <c r="L1201">
        <v>6</v>
      </c>
      <c r="M1201">
        <v>0</v>
      </c>
      <c r="N1201">
        <v>0</v>
      </c>
      <c r="O1201">
        <v>0</v>
      </c>
      <c r="P1201">
        <v>0</v>
      </c>
      <c r="Q1201" s="2">
        <f>SUM(GC[[#This Row],[IC1_Inv1_GC]:[IC2_Inv2_GC]])</f>
        <v>6</v>
      </c>
      <c r="R1201" s="263" t="s">
        <v>1687</v>
      </c>
    </row>
    <row r="1202" spans="1:18">
      <c r="A1202" s="2">
        <v>1218</v>
      </c>
      <c r="B1202" s="2" t="s">
        <v>4</v>
      </c>
      <c r="C1202" s="2">
        <f>YEAR(GC[[#This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</v>
      </c>
      <c r="J1202">
        <v>2</v>
      </c>
      <c r="K1202">
        <v>0</v>
      </c>
      <c r="L1202">
        <v>14</v>
      </c>
      <c r="M1202">
        <v>0</v>
      </c>
      <c r="N1202">
        <v>0</v>
      </c>
      <c r="O1202">
        <v>0</v>
      </c>
      <c r="P1202">
        <v>0</v>
      </c>
      <c r="Q1202" s="2">
        <f>SUM(GC[[#This Row],[IC1_Inv1_GC]:[IC2_Inv2_GC]])</f>
        <v>14</v>
      </c>
      <c r="R1202" s="264" t="s">
        <v>1688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6"/>
  <sheetViews>
    <sheetView zoomScaleNormal="100" workbookViewId="0">
      <pane xSplit="8" ySplit="1" topLeftCell="I1610" activePane="bottomRight" state="frozen"/>
      <selection activeCell="I9" sqref="I9"/>
      <selection pane="topRight" activeCell="I9" sqref="I9"/>
      <selection pane="bottomLeft" activeCell="I9" sqref="I9"/>
      <selection pane="bottomRight" activeCell="K1626" sqref="K1626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8.109375" customWidth="1"/>
    <col min="8" max="8" width="10.44140625" bestFit="1" customWidth="1"/>
    <col min="9" max="9" width="45.44140625" customWidth="1"/>
    <col min="10" max="10" width="10.44140625" style="2" customWidth="1"/>
    <col min="11" max="11" width="21.109375" customWidth="1"/>
    <col min="12" max="12" width="17.5546875" customWidth="1"/>
    <col min="13" max="13" width="14" customWidth="1"/>
  </cols>
  <sheetData>
    <row r="1" spans="1:13" ht="28.8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6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6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7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8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7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7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7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7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7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6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6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6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6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1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2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2" t="s">
        <v>187</v>
      </c>
    </row>
    <row r="1621" spans="1:11">
      <c r="A1621" s="2">
        <f t="shared" ref="A1621:A1626" si="236"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3" t="s">
        <v>189</v>
      </c>
    </row>
    <row r="1622" spans="1:11">
      <c r="A1622" s="2">
        <f t="shared" si="236"/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0" t="s">
        <v>185</v>
      </c>
    </row>
    <row r="1623" spans="1:11">
      <c r="A1623" s="2">
        <f t="shared" si="236"/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8" t="s">
        <v>188</v>
      </c>
    </row>
    <row r="1624" spans="1:11">
      <c r="A1624" s="2">
        <f t="shared" si="236"/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8" t="s">
        <v>188</v>
      </c>
    </row>
    <row r="1625" spans="1:11">
      <c r="A1625" s="2">
        <f t="shared" si="236"/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8" t="s">
        <v>188</v>
      </c>
    </row>
    <row r="1626" spans="1:11">
      <c r="A1626" s="2">
        <f t="shared" si="236"/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8" t="s">
        <v>188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4.4"/>
  <cols>
    <col min="1" max="1" width="18.88671875" customWidth="1"/>
    <col min="2" max="3" width="18.44140625" style="2" customWidth="1"/>
    <col min="5" max="5" width="25.44140625" customWidth="1"/>
    <col min="7" max="7" width="27.44140625" customWidth="1"/>
    <col min="9" max="9" width="18.44140625" style="3" customWidth="1"/>
    <col min="10" max="10" width="14.5546875" style="2" customWidth="1"/>
    <col min="11" max="11" width="19.88671875" style="2" customWidth="1"/>
  </cols>
  <sheetData>
    <row r="1" spans="1:13" s="1" customFormat="1" ht="28.8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Shashank Kumar</cp:lastModifiedBy>
  <cp:revision/>
  <dcterms:created xsi:type="dcterms:W3CDTF">2015-06-05T18:17:00Z</dcterms:created>
  <dcterms:modified xsi:type="dcterms:W3CDTF">2025-07-14T10:43:07Z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