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460016801.STERLING\Desktop\Rajshekar\"/>
    </mc:Choice>
  </mc:AlternateContent>
  <xr:revisionPtr revIDLastSave="0" documentId="13_ncr:1_{42BFFD58-9BCB-45E4-A4AE-5825FE1432BA}" xr6:coauthVersionLast="47" xr6:coauthVersionMax="47" xr10:uidLastSave="{00000000-0000-0000-0000-000000000000}"/>
  <bookViews>
    <workbookView xWindow="-120" yWindow="-120" windowWidth="20730" windowHeight="11160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486" i="4" l="1"/>
  <c r="AB1487" i="4"/>
  <c r="AD1489" i="4"/>
  <c r="AI1489" i="4" s="1"/>
  <c r="AD1490" i="4"/>
  <c r="AI1490" i="4" s="1"/>
  <c r="AB1491" i="4"/>
  <c r="AB1492" i="4"/>
  <c r="AD1493" i="4"/>
  <c r="AI1493" i="4" s="1"/>
  <c r="AD1494" i="4"/>
  <c r="AI1494" i="4" s="1"/>
  <c r="AC1495" i="4"/>
  <c r="AD1496" i="4"/>
  <c r="AI1496" i="4" s="1"/>
  <c r="AD1497" i="4"/>
  <c r="AI1497" i="4" s="1"/>
  <c r="AA1490" i="4"/>
  <c r="AA1491" i="4"/>
  <c r="AA1493" i="4"/>
  <c r="AA1494" i="4"/>
  <c r="AA1495" i="4"/>
  <c r="AA1496" i="4"/>
  <c r="AA1497" i="4"/>
  <c r="AH1498" i="4"/>
  <c r="X1498" i="4"/>
  <c r="W1498" i="4"/>
  <c r="AD1498" i="4" s="1"/>
  <c r="AI1498" i="4" s="1"/>
  <c r="M1498" i="4"/>
  <c r="J1498" i="4"/>
  <c r="I1498" i="4"/>
  <c r="G1498" i="4"/>
  <c r="C1498" i="4"/>
  <c r="B1498" i="4"/>
  <c r="AH1497" i="4"/>
  <c r="M1497" i="4"/>
  <c r="J1497" i="4"/>
  <c r="I1497" i="4"/>
  <c r="G1497" i="4"/>
  <c r="C1497" i="4"/>
  <c r="B1497" i="4"/>
  <c r="AH1496" i="4"/>
  <c r="AC1496" i="4"/>
  <c r="M1496" i="4"/>
  <c r="J1496" i="4"/>
  <c r="I1496" i="4"/>
  <c r="G1496" i="4"/>
  <c r="C1496" i="4"/>
  <c r="B1496" i="4"/>
  <c r="AH1495" i="4"/>
  <c r="M1495" i="4"/>
  <c r="J1495" i="4"/>
  <c r="I1495" i="4"/>
  <c r="G1495" i="4"/>
  <c r="C1495" i="4"/>
  <c r="B1495" i="4"/>
  <c r="AH1494" i="4"/>
  <c r="M1494" i="4"/>
  <c r="J1494" i="4"/>
  <c r="I1494" i="4"/>
  <c r="K1494" i="4" s="1"/>
  <c r="G1494" i="4"/>
  <c r="C1494" i="4"/>
  <c r="B1494" i="4"/>
  <c r="AH1493" i="4"/>
  <c r="M1493" i="4"/>
  <c r="J1493" i="4"/>
  <c r="I1493" i="4"/>
  <c r="G1493" i="4"/>
  <c r="C1493" i="4"/>
  <c r="B1493" i="4"/>
  <c r="AH1492" i="4"/>
  <c r="AD1492" i="4"/>
  <c r="AI1492" i="4" s="1"/>
  <c r="AC1492" i="4"/>
  <c r="AA1492" i="4"/>
  <c r="M1492" i="4"/>
  <c r="J1492" i="4"/>
  <c r="I1492" i="4"/>
  <c r="G1492" i="4"/>
  <c r="C1492" i="4"/>
  <c r="B1492" i="4"/>
  <c r="AH1491" i="4"/>
  <c r="M1491" i="4"/>
  <c r="J1491" i="4"/>
  <c r="I1491" i="4"/>
  <c r="G1491" i="4"/>
  <c r="C1491" i="4"/>
  <c r="B1491" i="4"/>
  <c r="AH1490" i="4"/>
  <c r="M1490" i="4"/>
  <c r="J1490" i="4"/>
  <c r="I1490" i="4"/>
  <c r="K1490" i="4" s="1"/>
  <c r="G1490" i="4"/>
  <c r="C1490" i="4"/>
  <c r="B1490" i="4"/>
  <c r="AH1489" i="4"/>
  <c r="AC1489" i="4"/>
  <c r="AA1489" i="4"/>
  <c r="M1489" i="4"/>
  <c r="J1489" i="4"/>
  <c r="I1489" i="4"/>
  <c r="G1489" i="4"/>
  <c r="C1489" i="4"/>
  <c r="B1489" i="4"/>
  <c r="AH1488" i="4"/>
  <c r="X1488" i="4"/>
  <c r="W1488" i="4"/>
  <c r="AB1488" i="4" s="1"/>
  <c r="M1488" i="4"/>
  <c r="J1488" i="4"/>
  <c r="I1488" i="4"/>
  <c r="G1488" i="4"/>
  <c r="C1488" i="4"/>
  <c r="B1488" i="4"/>
  <c r="A1488" i="4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H1487" i="4"/>
  <c r="AD1487" i="4"/>
  <c r="AI1487" i="4" s="1"/>
  <c r="AA1487" i="4"/>
  <c r="M1487" i="4"/>
  <c r="J1487" i="4"/>
  <c r="I1487" i="4"/>
  <c r="G1487" i="4"/>
  <c r="C1487" i="4"/>
  <c r="B1487" i="4"/>
  <c r="A1487" i="4"/>
  <c r="AH1486" i="4"/>
  <c r="AD1486" i="4"/>
  <c r="AI1486" i="4" s="1"/>
  <c r="AA1486" i="4"/>
  <c r="M1486" i="4"/>
  <c r="J1486" i="4"/>
  <c r="I1486" i="4"/>
  <c r="K1486" i="4" s="1"/>
  <c r="G1486" i="4"/>
  <c r="C1486" i="4"/>
  <c r="B1486" i="4"/>
  <c r="A1486" i="4"/>
  <c r="H108" i="7"/>
  <c r="A108" i="7" s="1"/>
  <c r="C109" i="6"/>
  <c r="G109" i="6"/>
  <c r="H109" i="6"/>
  <c r="A109" i="6" s="1"/>
  <c r="I109" i="6"/>
  <c r="J109" i="6"/>
  <c r="K109" i="6"/>
  <c r="L109" i="6"/>
  <c r="M109" i="6"/>
  <c r="N109" i="6"/>
  <c r="O109" i="6"/>
  <c r="F110" i="1"/>
  <c r="AB110" i="1"/>
  <c r="AC110" i="1"/>
  <c r="AD110" i="1"/>
  <c r="AF110" i="1"/>
  <c r="AG110" i="1" s="1"/>
  <c r="AH110" i="1"/>
  <c r="AD1473" i="4"/>
  <c r="AI1473" i="4" s="1"/>
  <c r="AB1474" i="4"/>
  <c r="AD1476" i="4"/>
  <c r="AI1476" i="4" s="1"/>
  <c r="AD1477" i="4"/>
  <c r="AC1478" i="4"/>
  <c r="AD1479" i="4"/>
  <c r="AD1480" i="4"/>
  <c r="AI1480" i="4" s="1"/>
  <c r="AD1481" i="4"/>
  <c r="AD1482" i="4"/>
  <c r="AI1482" i="4" s="1"/>
  <c r="AD1483" i="4"/>
  <c r="AC1484" i="4"/>
  <c r="AA1473" i="4"/>
  <c r="AA1474" i="4"/>
  <c r="AA1476" i="4"/>
  <c r="AA1477" i="4"/>
  <c r="AA1479" i="4"/>
  <c r="AA1480" i="4"/>
  <c r="AA1481" i="4"/>
  <c r="AA1482" i="4"/>
  <c r="AA1483" i="4"/>
  <c r="AA1484" i="4"/>
  <c r="AH1485" i="4"/>
  <c r="M1485" i="4"/>
  <c r="G1485" i="4"/>
  <c r="C1485" i="4"/>
  <c r="B1485" i="4"/>
  <c r="AH1484" i="4"/>
  <c r="M1484" i="4"/>
  <c r="G1484" i="4"/>
  <c r="C1484" i="4"/>
  <c r="B1484" i="4"/>
  <c r="AH1483" i="4"/>
  <c r="M1483" i="4"/>
  <c r="G1483" i="4"/>
  <c r="C1483" i="4"/>
  <c r="B1483" i="4"/>
  <c r="AH1482" i="4"/>
  <c r="M1482" i="4"/>
  <c r="G1482" i="4"/>
  <c r="C1482" i="4"/>
  <c r="B1482" i="4"/>
  <c r="AH1481" i="4"/>
  <c r="M1481" i="4"/>
  <c r="G1481" i="4"/>
  <c r="C1481" i="4"/>
  <c r="B1481" i="4"/>
  <c r="AH1480" i="4"/>
  <c r="M1480" i="4"/>
  <c r="G1480" i="4"/>
  <c r="C1480" i="4"/>
  <c r="B1480" i="4"/>
  <c r="AH1479" i="4"/>
  <c r="AB1479" i="4"/>
  <c r="M1479" i="4"/>
  <c r="G1479" i="4"/>
  <c r="C1479" i="4"/>
  <c r="B1479" i="4"/>
  <c r="AH1478" i="4"/>
  <c r="AD1478" i="4"/>
  <c r="AI1478" i="4" s="1"/>
  <c r="AB1478" i="4"/>
  <c r="AA1478" i="4"/>
  <c r="M1478" i="4"/>
  <c r="G1478" i="4"/>
  <c r="C1478" i="4"/>
  <c r="B1478" i="4"/>
  <c r="AH1477" i="4"/>
  <c r="AC1477" i="4"/>
  <c r="AB1477" i="4"/>
  <c r="M1477" i="4"/>
  <c r="G1477" i="4"/>
  <c r="C1477" i="4"/>
  <c r="B1477" i="4"/>
  <c r="AH1476" i="4"/>
  <c r="M1476" i="4"/>
  <c r="G1476" i="4"/>
  <c r="C1476" i="4"/>
  <c r="B1476" i="4"/>
  <c r="AH1475" i="4"/>
  <c r="M1475" i="4"/>
  <c r="G1475" i="4"/>
  <c r="C1475" i="4"/>
  <c r="B1475" i="4"/>
  <c r="AH1474" i="4"/>
  <c r="M1474" i="4"/>
  <c r="G1474" i="4"/>
  <c r="C1474" i="4"/>
  <c r="B1474" i="4"/>
  <c r="A1474" i="4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H1473" i="4"/>
  <c r="M1473" i="4"/>
  <c r="G1473" i="4"/>
  <c r="C1473" i="4"/>
  <c r="B1473" i="4"/>
  <c r="A1473" i="4"/>
  <c r="G108" i="6"/>
  <c r="H108" i="6"/>
  <c r="A108" i="6" s="1"/>
  <c r="I108" i="6"/>
  <c r="J108" i="6"/>
  <c r="K108" i="6"/>
  <c r="L108" i="6"/>
  <c r="M108" i="6"/>
  <c r="M107" i="7" s="1"/>
  <c r="N108" i="6"/>
  <c r="O108" i="6"/>
  <c r="P108" i="6"/>
  <c r="N107" i="7" s="1"/>
  <c r="F109" i="1"/>
  <c r="AB109" i="1"/>
  <c r="AC109" i="1"/>
  <c r="AD109" i="1"/>
  <c r="AF109" i="1"/>
  <c r="AG109" i="1" s="1"/>
  <c r="AH109" i="1"/>
  <c r="AB1460" i="4"/>
  <c r="AD1461" i="4"/>
  <c r="AD1463" i="4"/>
  <c r="AC1464" i="4"/>
  <c r="AD1465" i="4"/>
  <c r="AD1466" i="4"/>
  <c r="AD1467" i="4"/>
  <c r="AD1468" i="4"/>
  <c r="AB1469" i="4"/>
  <c r="AD1470" i="4"/>
  <c r="AD1471" i="4"/>
  <c r="AA1460" i="4"/>
  <c r="AA1461" i="4"/>
  <c r="AA1463" i="4"/>
  <c r="AA1464" i="4"/>
  <c r="AA1465" i="4"/>
  <c r="AA1467" i="4"/>
  <c r="AA1468" i="4"/>
  <c r="AA1469" i="4"/>
  <c r="AA1470" i="4"/>
  <c r="AA1471" i="4"/>
  <c r="AH1472" i="4"/>
  <c r="M1472" i="4"/>
  <c r="G1472" i="4"/>
  <c r="C1472" i="4"/>
  <c r="B1472" i="4"/>
  <c r="AH1471" i="4"/>
  <c r="M1471" i="4"/>
  <c r="G1471" i="4"/>
  <c r="C1471" i="4"/>
  <c r="B1471" i="4"/>
  <c r="AH1470" i="4"/>
  <c r="M1470" i="4"/>
  <c r="G1470" i="4"/>
  <c r="C1470" i="4"/>
  <c r="B1470" i="4"/>
  <c r="AH1469" i="4"/>
  <c r="M1469" i="4"/>
  <c r="G1469" i="4"/>
  <c r="C1469" i="4"/>
  <c r="B1469" i="4"/>
  <c r="AH1468" i="4"/>
  <c r="AC1468" i="4"/>
  <c r="M1468" i="4"/>
  <c r="G1468" i="4"/>
  <c r="C1468" i="4"/>
  <c r="B1468" i="4"/>
  <c r="AH1467" i="4"/>
  <c r="M1467" i="4"/>
  <c r="G1467" i="4"/>
  <c r="C1467" i="4"/>
  <c r="B1467" i="4"/>
  <c r="AH1466" i="4"/>
  <c r="AB1466" i="4"/>
  <c r="AA1466" i="4"/>
  <c r="M1466" i="4"/>
  <c r="G1466" i="4"/>
  <c r="C1466" i="4"/>
  <c r="B1466" i="4"/>
  <c r="AH1465" i="4"/>
  <c r="M1465" i="4"/>
  <c r="G1465" i="4"/>
  <c r="C1465" i="4"/>
  <c r="B1465" i="4"/>
  <c r="AH1464" i="4"/>
  <c r="M1464" i="4"/>
  <c r="G1464" i="4"/>
  <c r="C1464" i="4"/>
  <c r="B1464" i="4"/>
  <c r="AH1463" i="4"/>
  <c r="M1463" i="4"/>
  <c r="G1463" i="4"/>
  <c r="C1463" i="4"/>
  <c r="B1463" i="4"/>
  <c r="AH1462" i="4"/>
  <c r="M1462" i="4"/>
  <c r="G1462" i="4"/>
  <c r="C1462" i="4"/>
  <c r="B1462" i="4"/>
  <c r="AH1461" i="4"/>
  <c r="M1461" i="4"/>
  <c r="G1461" i="4"/>
  <c r="C1461" i="4"/>
  <c r="B1461" i="4"/>
  <c r="A1461" i="4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H1460" i="4"/>
  <c r="M1460" i="4"/>
  <c r="G1460" i="4"/>
  <c r="C1460" i="4"/>
  <c r="B1460" i="4"/>
  <c r="A1460" i="4"/>
  <c r="G107" i="6"/>
  <c r="I107" i="6"/>
  <c r="H107" i="7"/>
  <c r="A107" i="7" s="1"/>
  <c r="H106" i="7"/>
  <c r="A106" i="7" s="1"/>
  <c r="H105" i="7"/>
  <c r="A105" i="7" s="1"/>
  <c r="F108" i="1"/>
  <c r="AB108" i="1"/>
  <c r="AC108" i="1"/>
  <c r="AD108" i="1"/>
  <c r="AF108" i="1"/>
  <c r="AG108" i="1" s="1"/>
  <c r="AH108" i="1"/>
  <c r="AC1447" i="4"/>
  <c r="AD1448" i="4"/>
  <c r="AB1450" i="4"/>
  <c r="AD1451" i="4"/>
  <c r="AB1452" i="4"/>
  <c r="AD1453" i="4"/>
  <c r="AD1454" i="4"/>
  <c r="AD1455" i="4"/>
  <c r="AD1456" i="4"/>
  <c r="AD1457" i="4"/>
  <c r="AD1458" i="4"/>
  <c r="AA1447" i="4"/>
  <c r="AA1448" i="4"/>
  <c r="AA1450" i="4"/>
  <c r="AA1451" i="4"/>
  <c r="AA1452" i="4"/>
  <c r="AA1453" i="4"/>
  <c r="AA1454" i="4"/>
  <c r="AA1456" i="4"/>
  <c r="AA1457" i="4"/>
  <c r="AH1459" i="4"/>
  <c r="M1459" i="4"/>
  <c r="G1459" i="4"/>
  <c r="C1459" i="4"/>
  <c r="B1459" i="4"/>
  <c r="AH1458" i="4"/>
  <c r="M1458" i="4"/>
  <c r="G1458" i="4"/>
  <c r="C1458" i="4"/>
  <c r="B1458" i="4"/>
  <c r="AH1457" i="4"/>
  <c r="M1457" i="4"/>
  <c r="G1457" i="4"/>
  <c r="C1457" i="4"/>
  <c r="B1457" i="4"/>
  <c r="AH1456" i="4"/>
  <c r="M1456" i="4"/>
  <c r="G1456" i="4"/>
  <c r="C1456" i="4"/>
  <c r="B1456" i="4"/>
  <c r="AH1455" i="4"/>
  <c r="M1455" i="4"/>
  <c r="G1455" i="4"/>
  <c r="C1455" i="4"/>
  <c r="B1455" i="4"/>
  <c r="AH1454" i="4"/>
  <c r="M1454" i="4"/>
  <c r="G1454" i="4"/>
  <c r="C1454" i="4"/>
  <c r="B1454" i="4"/>
  <c r="AH1453" i="4"/>
  <c r="M1453" i="4"/>
  <c r="G1453" i="4"/>
  <c r="C1453" i="4"/>
  <c r="B1453" i="4"/>
  <c r="AH1452" i="4"/>
  <c r="M1452" i="4"/>
  <c r="G1452" i="4"/>
  <c r="C1452" i="4"/>
  <c r="B1452" i="4"/>
  <c r="AH1451" i="4"/>
  <c r="AC1451" i="4"/>
  <c r="M1451" i="4"/>
  <c r="G1451" i="4"/>
  <c r="C1451" i="4"/>
  <c r="B1451" i="4"/>
  <c r="AH1450" i="4"/>
  <c r="M1450" i="4"/>
  <c r="G1450" i="4"/>
  <c r="C1450" i="4"/>
  <c r="B1450" i="4"/>
  <c r="AH1449" i="4"/>
  <c r="M1449" i="4"/>
  <c r="G1449" i="4"/>
  <c r="C1449" i="4"/>
  <c r="B1449" i="4"/>
  <c r="AH1448" i="4"/>
  <c r="M1448" i="4"/>
  <c r="G1448" i="4"/>
  <c r="C1448" i="4"/>
  <c r="B1448" i="4"/>
  <c r="AH1447" i="4"/>
  <c r="M1447" i="4"/>
  <c r="G1447" i="4"/>
  <c r="C1447" i="4"/>
  <c r="B1447" i="4"/>
  <c r="F107" i="1"/>
  <c r="AB107" i="1"/>
  <c r="AC107" i="1"/>
  <c r="AD107" i="1"/>
  <c r="AF107" i="1"/>
  <c r="AG107" i="1" s="1"/>
  <c r="AH107" i="1"/>
  <c r="K1498" i="4" l="1"/>
  <c r="K1487" i="4"/>
  <c r="T108" i="7"/>
  <c r="P109" i="6"/>
  <c r="J108" i="7"/>
  <c r="K1488" i="4"/>
  <c r="K1492" i="4"/>
  <c r="K1496" i="4"/>
  <c r="K1493" i="4"/>
  <c r="AE110" i="1"/>
  <c r="K1497" i="4"/>
  <c r="AB1497" i="4"/>
  <c r="AC1497" i="4"/>
  <c r="AB1496" i="4"/>
  <c r="AD1495" i="4"/>
  <c r="AI1495" i="4" s="1"/>
  <c r="K1495" i="4"/>
  <c r="AB1495" i="4"/>
  <c r="AC1494" i="4"/>
  <c r="AC1493" i="4"/>
  <c r="AC1491" i="4"/>
  <c r="AD1491" i="4"/>
  <c r="AI1491" i="4" s="1"/>
  <c r="K1491" i="4"/>
  <c r="AC1490" i="4"/>
  <c r="AB1490" i="4"/>
  <c r="K1489" i="4"/>
  <c r="AB1489" i="4"/>
  <c r="AC1487" i="4"/>
  <c r="AB1486" i="4"/>
  <c r="AC1488" i="4"/>
  <c r="AI1477" i="4"/>
  <c r="AD1488" i="4"/>
  <c r="AI1488" i="4" s="1"/>
  <c r="AB1494" i="4"/>
  <c r="AA1498" i="4"/>
  <c r="AI1481" i="4"/>
  <c r="AB1493" i="4"/>
  <c r="AB1498" i="4"/>
  <c r="AC1498" i="4"/>
  <c r="AA1488" i="4"/>
  <c r="F108" i="7"/>
  <c r="G108" i="7" s="1"/>
  <c r="C108" i="7"/>
  <c r="B108" i="7"/>
  <c r="Q109" i="6"/>
  <c r="Q108" i="7" s="1"/>
  <c r="B109" i="6"/>
  <c r="AE109" i="1"/>
  <c r="J107" i="7"/>
  <c r="Q108" i="6"/>
  <c r="L107" i="7"/>
  <c r="K107" i="7"/>
  <c r="P107" i="7"/>
  <c r="O107" i="7"/>
  <c r="AB1484" i="4"/>
  <c r="AD1484" i="4"/>
  <c r="AI1484" i="4" s="1"/>
  <c r="AB1483" i="4"/>
  <c r="AC1483" i="4"/>
  <c r="AI1483" i="4"/>
  <c r="AB1482" i="4"/>
  <c r="AC1482" i="4"/>
  <c r="AC1481" i="4"/>
  <c r="AB1480" i="4"/>
  <c r="AC1480" i="4"/>
  <c r="AC1479" i="4"/>
  <c r="AI1479" i="4"/>
  <c r="AB1476" i="4"/>
  <c r="AC1476" i="4"/>
  <c r="AC1474" i="4"/>
  <c r="AD1474" i="4"/>
  <c r="AI1474" i="4" s="1"/>
  <c r="AB1473" i="4"/>
  <c r="AC1473" i="4"/>
  <c r="AI1471" i="4"/>
  <c r="AI1463" i="4"/>
  <c r="AI1461" i="4"/>
  <c r="AB1481" i="4"/>
  <c r="AI1468" i="4"/>
  <c r="AI1467" i="4"/>
  <c r="AI1465" i="4"/>
  <c r="C108" i="6"/>
  <c r="B108" i="6"/>
  <c r="AC1471" i="4"/>
  <c r="AB1471" i="4"/>
  <c r="AB1470" i="4"/>
  <c r="AC1470" i="4"/>
  <c r="AI1470" i="4"/>
  <c r="AC1469" i="4"/>
  <c r="AD1469" i="4"/>
  <c r="AI1469" i="4" s="1"/>
  <c r="AB1467" i="4"/>
  <c r="AC1467" i="4"/>
  <c r="AI1466" i="4"/>
  <c r="AC1466" i="4"/>
  <c r="AB1465" i="4"/>
  <c r="AC1465" i="4"/>
  <c r="AD1464" i="4"/>
  <c r="AI1464" i="4" s="1"/>
  <c r="AB1464" i="4"/>
  <c r="AB1463" i="4"/>
  <c r="AC1463" i="4"/>
  <c r="AB1461" i="4"/>
  <c r="AC1461" i="4"/>
  <c r="AC1460" i="4"/>
  <c r="AD1460" i="4"/>
  <c r="AI1460" i="4" s="1"/>
  <c r="AB1468" i="4"/>
  <c r="AI1455" i="4"/>
  <c r="F107" i="7"/>
  <c r="G107" i="7" s="1"/>
  <c r="C107" i="7"/>
  <c r="B107" i="7"/>
  <c r="F106" i="7"/>
  <c r="G106" i="7" s="1"/>
  <c r="C106" i="7"/>
  <c r="B106" i="7"/>
  <c r="F105" i="7"/>
  <c r="G105" i="7" s="1"/>
  <c r="C105" i="7"/>
  <c r="B105" i="7"/>
  <c r="AE108" i="1"/>
  <c r="AI1454" i="4"/>
  <c r="AI1451" i="4"/>
  <c r="AI1458" i="4"/>
  <c r="AI1457" i="4"/>
  <c r="AA1458" i="4"/>
  <c r="AB1458" i="4"/>
  <c r="AC1458" i="4"/>
  <c r="AB1457" i="4"/>
  <c r="AC1457" i="4"/>
  <c r="AI1456" i="4"/>
  <c r="AB1456" i="4"/>
  <c r="AC1456" i="4"/>
  <c r="AC1454" i="4"/>
  <c r="AB1454" i="4"/>
  <c r="AI1453" i="4"/>
  <c r="AB1453" i="4"/>
  <c r="AC1453" i="4"/>
  <c r="AD1452" i="4"/>
  <c r="AI1452" i="4" s="1"/>
  <c r="AC1452" i="4"/>
  <c r="AB1451" i="4"/>
  <c r="AC1450" i="4"/>
  <c r="AD1450" i="4"/>
  <c r="AI1450" i="4" s="1"/>
  <c r="AC1448" i="4"/>
  <c r="AB1448" i="4"/>
  <c r="AI1448" i="4"/>
  <c r="AD1447" i="4"/>
  <c r="AI1447" i="4" s="1"/>
  <c r="AB1447" i="4"/>
  <c r="AA1455" i="4"/>
  <c r="AB1455" i="4"/>
  <c r="AC1455" i="4"/>
  <c r="AE107" i="1"/>
  <c r="AB1434" i="4"/>
  <c r="AD1441" i="4"/>
  <c r="AD1442" i="4"/>
  <c r="AC1445" i="4"/>
  <c r="AA1434" i="4"/>
  <c r="AA1445" i="4"/>
  <c r="AH1446" i="4"/>
  <c r="M1446" i="4"/>
  <c r="G1446" i="4"/>
  <c r="C1446" i="4"/>
  <c r="B1446" i="4"/>
  <c r="AH1445" i="4"/>
  <c r="AD1445" i="4"/>
  <c r="AB1445" i="4"/>
  <c r="M1445" i="4"/>
  <c r="G1445" i="4"/>
  <c r="C1445" i="4"/>
  <c r="B1445" i="4"/>
  <c r="AH1444" i="4"/>
  <c r="AD1444" i="4"/>
  <c r="AC1444" i="4"/>
  <c r="AB1444" i="4"/>
  <c r="AA1444" i="4"/>
  <c r="M1444" i="4"/>
  <c r="G1444" i="4"/>
  <c r="C1444" i="4"/>
  <c r="B1444" i="4"/>
  <c r="AH1443" i="4"/>
  <c r="AD1443" i="4"/>
  <c r="AC1443" i="4"/>
  <c r="AB1443" i="4"/>
  <c r="AA1443" i="4"/>
  <c r="M1443" i="4"/>
  <c r="G1443" i="4"/>
  <c r="C1443" i="4"/>
  <c r="B1443" i="4"/>
  <c r="AH1442" i="4"/>
  <c r="AC1442" i="4"/>
  <c r="AA1442" i="4"/>
  <c r="M1442" i="4"/>
  <c r="G1442" i="4"/>
  <c r="C1442" i="4"/>
  <c r="B1442" i="4"/>
  <c r="AH1441" i="4"/>
  <c r="AC1441" i="4"/>
  <c r="AA1441" i="4"/>
  <c r="M1441" i="4"/>
  <c r="G1441" i="4"/>
  <c r="C1441" i="4"/>
  <c r="B1441" i="4"/>
  <c r="AH1440" i="4"/>
  <c r="AD1440" i="4"/>
  <c r="AC1440" i="4"/>
  <c r="AB1440" i="4"/>
  <c r="AA1440" i="4"/>
  <c r="M1440" i="4"/>
  <c r="G1440" i="4"/>
  <c r="C1440" i="4"/>
  <c r="B1440" i="4"/>
  <c r="AH1439" i="4"/>
  <c r="AD1439" i="4"/>
  <c r="AC1439" i="4"/>
  <c r="AB1439" i="4"/>
  <c r="AA1439" i="4"/>
  <c r="M1439" i="4"/>
  <c r="G1439" i="4"/>
  <c r="C1439" i="4"/>
  <c r="B1439" i="4"/>
  <c r="AH1438" i="4"/>
  <c r="AD1438" i="4"/>
  <c r="AC1438" i="4"/>
  <c r="AB1438" i="4"/>
  <c r="AA1438" i="4"/>
  <c r="M1438" i="4"/>
  <c r="G1438" i="4"/>
  <c r="C1438" i="4"/>
  <c r="B1438" i="4"/>
  <c r="AH1437" i="4"/>
  <c r="AD1437" i="4"/>
  <c r="AC1437" i="4"/>
  <c r="AB1437" i="4"/>
  <c r="AA1437" i="4"/>
  <c r="M1437" i="4"/>
  <c r="G1437" i="4"/>
  <c r="C1437" i="4"/>
  <c r="B1437" i="4"/>
  <c r="AH1436" i="4"/>
  <c r="M1436" i="4"/>
  <c r="G1436" i="4"/>
  <c r="C1436" i="4"/>
  <c r="B1436" i="4"/>
  <c r="AH1435" i="4"/>
  <c r="AD1435" i="4"/>
  <c r="AC1435" i="4"/>
  <c r="AB1435" i="4"/>
  <c r="AA1435" i="4"/>
  <c r="M1435" i="4"/>
  <c r="G1435" i="4"/>
  <c r="C1435" i="4"/>
  <c r="B1435" i="4"/>
  <c r="AH1434" i="4"/>
  <c r="M1434" i="4"/>
  <c r="G1434" i="4"/>
  <c r="C1434" i="4"/>
  <c r="B1434" i="4"/>
  <c r="C104" i="7"/>
  <c r="H104" i="7"/>
  <c r="B104" i="7" s="1"/>
  <c r="F106" i="1"/>
  <c r="AB106" i="1"/>
  <c r="AC106" i="1"/>
  <c r="AD106" i="1"/>
  <c r="AF106" i="1"/>
  <c r="AG106" i="1" s="1"/>
  <c r="AH106" i="1"/>
  <c r="P108" i="7" l="1"/>
  <c r="O108" i="7"/>
  <c r="M108" i="7"/>
  <c r="U108" i="7"/>
  <c r="R108" i="7"/>
  <c r="N108" i="7"/>
  <c r="L108" i="7"/>
  <c r="S108" i="7"/>
  <c r="K108" i="7"/>
  <c r="Q107" i="7"/>
  <c r="T107" i="7"/>
  <c r="S107" i="7"/>
  <c r="R107" i="7"/>
  <c r="U107" i="7"/>
  <c r="AI1437" i="4"/>
  <c r="AI1439" i="4"/>
  <c r="AI1440" i="4"/>
  <c r="AI1444" i="4"/>
  <c r="AI1442" i="4"/>
  <c r="AI1441" i="4"/>
  <c r="AI1435" i="4"/>
  <c r="AI1438" i="4"/>
  <c r="AI1443" i="4"/>
  <c r="AI1445" i="4"/>
  <c r="AE106" i="1"/>
  <c r="AD1434" i="4"/>
  <c r="AI1434" i="4" s="1"/>
  <c r="AC1434" i="4"/>
  <c r="AB1442" i="4"/>
  <c r="AB1441" i="4"/>
  <c r="A104" i="7"/>
  <c r="F104" i="7"/>
  <c r="G104" i="7" s="1"/>
  <c r="AD1421" i="4" l="1"/>
  <c r="AD1422" i="4"/>
  <c r="AC1425" i="4"/>
  <c r="AD1428" i="4"/>
  <c r="AD1429" i="4"/>
  <c r="AA1422" i="4"/>
  <c r="AA1425" i="4"/>
  <c r="AA1426" i="4"/>
  <c r="AH1433" i="4"/>
  <c r="M1433" i="4"/>
  <c r="G1433" i="4"/>
  <c r="C1433" i="4"/>
  <c r="B1433" i="4"/>
  <c r="AH1432" i="4"/>
  <c r="AD1432" i="4"/>
  <c r="AC1432" i="4"/>
  <c r="AB1432" i="4"/>
  <c r="AA1432" i="4"/>
  <c r="M1432" i="4"/>
  <c r="G1432" i="4"/>
  <c r="C1432" i="4"/>
  <c r="B1432" i="4"/>
  <c r="AH1431" i="4"/>
  <c r="AD1431" i="4"/>
  <c r="AC1431" i="4"/>
  <c r="AB1431" i="4"/>
  <c r="AA1431" i="4"/>
  <c r="M1431" i="4"/>
  <c r="G1431" i="4"/>
  <c r="C1431" i="4"/>
  <c r="B1431" i="4"/>
  <c r="AH1430" i="4"/>
  <c r="AD1430" i="4"/>
  <c r="AC1430" i="4"/>
  <c r="AB1430" i="4"/>
  <c r="AA1430" i="4"/>
  <c r="M1430" i="4"/>
  <c r="G1430" i="4"/>
  <c r="C1430" i="4"/>
  <c r="B1430" i="4"/>
  <c r="AH1429" i="4"/>
  <c r="M1429" i="4"/>
  <c r="G1429" i="4"/>
  <c r="C1429" i="4"/>
  <c r="B1429" i="4"/>
  <c r="AH1428" i="4"/>
  <c r="AC1428" i="4"/>
  <c r="AB1428" i="4"/>
  <c r="M1428" i="4"/>
  <c r="G1428" i="4"/>
  <c r="C1428" i="4"/>
  <c r="B1428" i="4"/>
  <c r="AH1427" i="4"/>
  <c r="AD1427" i="4"/>
  <c r="AC1427" i="4"/>
  <c r="AB1427" i="4"/>
  <c r="AA1427" i="4"/>
  <c r="M1427" i="4"/>
  <c r="G1427" i="4"/>
  <c r="C1427" i="4"/>
  <c r="B1427" i="4"/>
  <c r="AH1426" i="4"/>
  <c r="AD1426" i="4"/>
  <c r="AC1426" i="4"/>
  <c r="AB1426" i="4"/>
  <c r="M1426" i="4"/>
  <c r="G1426" i="4"/>
  <c r="C1426" i="4"/>
  <c r="B1426" i="4"/>
  <c r="AH1425" i="4"/>
  <c r="M1425" i="4"/>
  <c r="G1425" i="4"/>
  <c r="C1425" i="4"/>
  <c r="B1425" i="4"/>
  <c r="AH1424" i="4"/>
  <c r="AD1424" i="4"/>
  <c r="AC1424" i="4"/>
  <c r="AB1424" i="4"/>
  <c r="AA1424" i="4"/>
  <c r="M1424" i="4"/>
  <c r="G1424" i="4"/>
  <c r="C1424" i="4"/>
  <c r="B1424" i="4"/>
  <c r="AH1423" i="4"/>
  <c r="M1423" i="4"/>
  <c r="G1423" i="4"/>
  <c r="C1423" i="4"/>
  <c r="B1423" i="4"/>
  <c r="AH1422" i="4"/>
  <c r="M1422" i="4"/>
  <c r="G1422" i="4"/>
  <c r="C1422" i="4"/>
  <c r="B1422" i="4"/>
  <c r="AH1421" i="4"/>
  <c r="AA1421" i="4"/>
  <c r="M1421" i="4"/>
  <c r="G1421" i="4"/>
  <c r="C1421" i="4"/>
  <c r="B1421" i="4"/>
  <c r="F105" i="1"/>
  <c r="AB105" i="1"/>
  <c r="AC105" i="1"/>
  <c r="AD105" i="1"/>
  <c r="AF105" i="1"/>
  <c r="AG105" i="1" s="1"/>
  <c r="AH105" i="1"/>
  <c r="AD1408" i="4"/>
  <c r="AD1409" i="4"/>
  <c r="AD1411" i="4"/>
  <c r="AD1414" i="4"/>
  <c r="AD1415" i="4"/>
  <c r="AD1416" i="4"/>
  <c r="AD1417" i="4"/>
  <c r="AD1418" i="4"/>
  <c r="AD1419" i="4"/>
  <c r="AA1412" i="4"/>
  <c r="AA1414" i="4"/>
  <c r="AA1415" i="4"/>
  <c r="AA1416" i="4"/>
  <c r="AH1420" i="4"/>
  <c r="M1420" i="4"/>
  <c r="G1420" i="4"/>
  <c r="C1420" i="4"/>
  <c r="B1420" i="4"/>
  <c r="AH1419" i="4"/>
  <c r="M1419" i="4"/>
  <c r="G1419" i="4"/>
  <c r="C1419" i="4"/>
  <c r="B1419" i="4"/>
  <c r="AH1418" i="4"/>
  <c r="M1418" i="4"/>
  <c r="G1418" i="4"/>
  <c r="C1418" i="4"/>
  <c r="B1418" i="4"/>
  <c r="AH1417" i="4"/>
  <c r="M1417" i="4"/>
  <c r="G1417" i="4"/>
  <c r="C1417" i="4"/>
  <c r="B1417" i="4"/>
  <c r="AH1416" i="4"/>
  <c r="AC1416" i="4"/>
  <c r="M1416" i="4"/>
  <c r="G1416" i="4"/>
  <c r="C1416" i="4"/>
  <c r="B1416" i="4"/>
  <c r="AH1415" i="4"/>
  <c r="M1415" i="4"/>
  <c r="G1415" i="4"/>
  <c r="C1415" i="4"/>
  <c r="B1415" i="4"/>
  <c r="AH1414" i="4"/>
  <c r="AC1414" i="4"/>
  <c r="AB1414" i="4"/>
  <c r="M1414" i="4"/>
  <c r="G1414" i="4"/>
  <c r="C1414" i="4"/>
  <c r="B1414" i="4"/>
  <c r="AH1413" i="4"/>
  <c r="AD1413" i="4"/>
  <c r="AC1413" i="4"/>
  <c r="AB1413" i="4"/>
  <c r="AA1413" i="4"/>
  <c r="M1413" i="4"/>
  <c r="G1413" i="4"/>
  <c r="C1413" i="4"/>
  <c r="B1413" i="4"/>
  <c r="AH1412" i="4"/>
  <c r="AD1412" i="4"/>
  <c r="AC1412" i="4"/>
  <c r="AB1412" i="4"/>
  <c r="M1412" i="4"/>
  <c r="G1412" i="4"/>
  <c r="C1412" i="4"/>
  <c r="B1412" i="4"/>
  <c r="AH1411" i="4"/>
  <c r="M1411" i="4"/>
  <c r="G1411" i="4"/>
  <c r="C1411" i="4"/>
  <c r="B1411" i="4"/>
  <c r="AH1410" i="4"/>
  <c r="M1410" i="4"/>
  <c r="G1410" i="4"/>
  <c r="C1410" i="4"/>
  <c r="B1410" i="4"/>
  <c r="AH1409" i="4"/>
  <c r="M1409" i="4"/>
  <c r="G1409" i="4"/>
  <c r="C1409" i="4"/>
  <c r="B1409" i="4"/>
  <c r="AH1408" i="4"/>
  <c r="M1408" i="4"/>
  <c r="G1408" i="4"/>
  <c r="C1408" i="4"/>
  <c r="B1408" i="4"/>
  <c r="H103" i="7"/>
  <c r="A103" i="7" s="1"/>
  <c r="B102" i="7"/>
  <c r="A102" i="7"/>
  <c r="C102" i="7"/>
  <c r="F102" i="7"/>
  <c r="G102" i="7" s="1"/>
  <c r="H102" i="7"/>
  <c r="H101" i="7"/>
  <c r="A101" i="7" s="1"/>
  <c r="G106" i="6"/>
  <c r="I106" i="6"/>
  <c r="G105" i="6"/>
  <c r="I105" i="6"/>
  <c r="G104" i="6"/>
  <c r="I104" i="6"/>
  <c r="G103" i="6"/>
  <c r="I103" i="6"/>
  <c r="F104" i="1"/>
  <c r="AB104" i="1"/>
  <c r="AC104" i="1"/>
  <c r="AD104" i="1"/>
  <c r="AF104" i="1"/>
  <c r="AG104" i="1" s="1"/>
  <c r="AH104" i="1"/>
  <c r="A103" i="14"/>
  <c r="G103" i="14"/>
  <c r="H103" i="14"/>
  <c r="C103" i="14" s="1"/>
  <c r="Q103" i="14"/>
  <c r="AD1395" i="4"/>
  <c r="AD1396" i="4"/>
  <c r="AD1398" i="4"/>
  <c r="AD1400" i="4"/>
  <c r="AC1401" i="4"/>
  <c r="AD1402" i="4"/>
  <c r="AC1403" i="4"/>
  <c r="AD1404" i="4"/>
  <c r="AD1405" i="4"/>
  <c r="AD1406" i="4"/>
  <c r="AA1395" i="4"/>
  <c r="AA1396" i="4"/>
  <c r="AA1398" i="4"/>
  <c r="AA1400" i="4"/>
  <c r="AA1401" i="4"/>
  <c r="AA1402" i="4"/>
  <c r="AA1405" i="4"/>
  <c r="AA1406" i="4"/>
  <c r="AH1407" i="4"/>
  <c r="M1407" i="4"/>
  <c r="G1407" i="4"/>
  <c r="C1407" i="4"/>
  <c r="B1407" i="4"/>
  <c r="AH1406" i="4"/>
  <c r="M1406" i="4"/>
  <c r="G1406" i="4"/>
  <c r="C1406" i="4"/>
  <c r="B1406" i="4"/>
  <c r="AH1405" i="4"/>
  <c r="AC1405" i="4"/>
  <c r="AB1405" i="4"/>
  <c r="M1405" i="4"/>
  <c r="G1405" i="4"/>
  <c r="C1405" i="4"/>
  <c r="B1405" i="4"/>
  <c r="AH1404" i="4"/>
  <c r="AC1404" i="4"/>
  <c r="AB1404" i="4"/>
  <c r="AA1404" i="4"/>
  <c r="M1404" i="4"/>
  <c r="G1404" i="4"/>
  <c r="C1404" i="4"/>
  <c r="B1404" i="4"/>
  <c r="AH1403" i="4"/>
  <c r="M1403" i="4"/>
  <c r="G1403" i="4"/>
  <c r="C1403" i="4"/>
  <c r="B1403" i="4"/>
  <c r="AH1402" i="4"/>
  <c r="M1402" i="4"/>
  <c r="G1402" i="4"/>
  <c r="C1402" i="4"/>
  <c r="B1402" i="4"/>
  <c r="AH1401" i="4"/>
  <c r="M1401" i="4"/>
  <c r="G1401" i="4"/>
  <c r="C1401" i="4"/>
  <c r="B1401" i="4"/>
  <c r="AH1400" i="4"/>
  <c r="M1400" i="4"/>
  <c r="G1400" i="4"/>
  <c r="C1400" i="4"/>
  <c r="B1400" i="4"/>
  <c r="AH1399" i="4"/>
  <c r="AD1399" i="4"/>
  <c r="AC1399" i="4"/>
  <c r="AB1399" i="4"/>
  <c r="AA1399" i="4"/>
  <c r="M1399" i="4"/>
  <c r="G1399" i="4"/>
  <c r="C1399" i="4"/>
  <c r="B1399" i="4"/>
  <c r="AH1398" i="4"/>
  <c r="M1398" i="4"/>
  <c r="G1398" i="4"/>
  <c r="C1398" i="4"/>
  <c r="B1398" i="4"/>
  <c r="AH1397" i="4"/>
  <c r="M1397" i="4"/>
  <c r="G1397" i="4"/>
  <c r="C1397" i="4"/>
  <c r="B1397" i="4"/>
  <c r="AH1396" i="4"/>
  <c r="M1396" i="4"/>
  <c r="G1396" i="4"/>
  <c r="C1396" i="4"/>
  <c r="B1396" i="4"/>
  <c r="AH1395" i="4"/>
  <c r="M1395" i="4"/>
  <c r="G1395" i="4"/>
  <c r="C1395" i="4"/>
  <c r="B1395" i="4"/>
  <c r="AI1424" i="4" l="1"/>
  <c r="AE105" i="1"/>
  <c r="AE104" i="1"/>
  <c r="AI1402" i="4"/>
  <c r="AI1427" i="4"/>
  <c r="AI1417" i="4"/>
  <c r="AI1429" i="4"/>
  <c r="AI1416" i="4"/>
  <c r="AI1428" i="4"/>
  <c r="AI1398" i="4"/>
  <c r="AI1422" i="4"/>
  <c r="AI1405" i="4"/>
  <c r="AI1411" i="4"/>
  <c r="AI1430" i="4"/>
  <c r="AI1421" i="4"/>
  <c r="AI1431" i="4"/>
  <c r="AI1419" i="4"/>
  <c r="AI1408" i="4"/>
  <c r="AI1426" i="4"/>
  <c r="AI1432" i="4"/>
  <c r="AA1429" i="4"/>
  <c r="AB1429" i="4"/>
  <c r="AC1429" i="4"/>
  <c r="AB1425" i="4"/>
  <c r="AD1425" i="4"/>
  <c r="AI1425" i="4" s="1"/>
  <c r="AA1428" i="4"/>
  <c r="AB1422" i="4"/>
  <c r="AC1422" i="4"/>
  <c r="AB1421" i="4"/>
  <c r="AC1421" i="4"/>
  <c r="AI1412" i="4"/>
  <c r="AI1413" i="4"/>
  <c r="AI1415" i="4"/>
  <c r="AI1414" i="4"/>
  <c r="AI1399" i="4"/>
  <c r="AI1409" i="4"/>
  <c r="AI1418" i="4"/>
  <c r="AA1417" i="4"/>
  <c r="AB1411" i="4"/>
  <c r="AB1419" i="4"/>
  <c r="AC1411" i="4"/>
  <c r="AC1419" i="4"/>
  <c r="AA1419" i="4"/>
  <c r="AA1411" i="4"/>
  <c r="AC1415" i="4"/>
  <c r="AC1417" i="4"/>
  <c r="AB1417" i="4"/>
  <c r="AA1408" i="4"/>
  <c r="AA1418" i="4"/>
  <c r="AB1418" i="4"/>
  <c r="AC1418" i="4"/>
  <c r="AA1409" i="4"/>
  <c r="AB1409" i="4"/>
  <c r="AC1409" i="4"/>
  <c r="AB1408" i="4"/>
  <c r="AC1408" i="4"/>
  <c r="AB1416" i="4"/>
  <c r="AI1396" i="4"/>
  <c r="AB1415" i="4"/>
  <c r="F103" i="7"/>
  <c r="G103" i="7" s="1"/>
  <c r="C103" i="7"/>
  <c r="B103" i="7"/>
  <c r="F101" i="7"/>
  <c r="G101" i="7" s="1"/>
  <c r="C101" i="7"/>
  <c r="B101" i="7"/>
  <c r="B103" i="14"/>
  <c r="AI1406" i="4"/>
  <c r="AB1406" i="4"/>
  <c r="AC1406" i="4"/>
  <c r="AI1404" i="4"/>
  <c r="AB1403" i="4"/>
  <c r="AD1403" i="4"/>
  <c r="AI1403" i="4" s="1"/>
  <c r="AB1402" i="4"/>
  <c r="AC1402" i="4"/>
  <c r="AD1401" i="4"/>
  <c r="AI1401" i="4" s="1"/>
  <c r="AB1401" i="4"/>
  <c r="AI1400" i="4"/>
  <c r="AB1400" i="4"/>
  <c r="AC1400" i="4"/>
  <c r="AC1398" i="4"/>
  <c r="AB1398" i="4"/>
  <c r="AB1396" i="4"/>
  <c r="AC1396" i="4"/>
  <c r="AI1395" i="4"/>
  <c r="AB1395" i="4"/>
  <c r="AC1395" i="4"/>
  <c r="AA1403" i="4"/>
  <c r="F103" i="1"/>
  <c r="AB103" i="1"/>
  <c r="AC103" i="1"/>
  <c r="AD103" i="1"/>
  <c r="AF103" i="1"/>
  <c r="AG103" i="1" s="1"/>
  <c r="AH103" i="1"/>
  <c r="C101" i="15"/>
  <c r="H100" i="7"/>
  <c r="A100" i="7" s="1"/>
  <c r="G102" i="6"/>
  <c r="I102" i="6"/>
  <c r="AD1382" i="4"/>
  <c r="AC1383" i="4"/>
  <c r="AC1385" i="4"/>
  <c r="AB1386" i="4"/>
  <c r="AD1387" i="4"/>
  <c r="AB1388" i="4"/>
  <c r="AD1389" i="4"/>
  <c r="AD1390" i="4"/>
  <c r="AB1391" i="4"/>
  <c r="AC1393" i="4"/>
  <c r="AA1382" i="4"/>
  <c r="AA1383" i="4"/>
  <c r="AA1385" i="4"/>
  <c r="AA1386" i="4"/>
  <c r="AA1387" i="4"/>
  <c r="AA1388" i="4"/>
  <c r="AA1390" i="4"/>
  <c r="AA1391" i="4"/>
  <c r="AA1393" i="4"/>
  <c r="AH1394" i="4"/>
  <c r="M1394" i="4"/>
  <c r="G1394" i="4"/>
  <c r="C1394" i="4"/>
  <c r="B1394" i="4"/>
  <c r="AH1393" i="4"/>
  <c r="M1393" i="4"/>
  <c r="G1393" i="4"/>
  <c r="C1393" i="4"/>
  <c r="B1393" i="4"/>
  <c r="AH1392" i="4"/>
  <c r="AD1392" i="4"/>
  <c r="AC1392" i="4"/>
  <c r="AB1392" i="4"/>
  <c r="AA1392" i="4"/>
  <c r="M1392" i="4"/>
  <c r="G1392" i="4"/>
  <c r="C1392" i="4"/>
  <c r="B1392" i="4"/>
  <c r="AH1391" i="4"/>
  <c r="M1391" i="4"/>
  <c r="G1391" i="4"/>
  <c r="C1391" i="4"/>
  <c r="B1391" i="4"/>
  <c r="AH1390" i="4"/>
  <c r="M1390" i="4"/>
  <c r="G1390" i="4"/>
  <c r="C1390" i="4"/>
  <c r="B1390" i="4"/>
  <c r="AH1389" i="4"/>
  <c r="AA1389" i="4"/>
  <c r="M1389" i="4"/>
  <c r="G1389" i="4"/>
  <c r="C1389" i="4"/>
  <c r="B1389" i="4"/>
  <c r="AH1388" i="4"/>
  <c r="AD1388" i="4"/>
  <c r="AC1388" i="4"/>
  <c r="M1388" i="4"/>
  <c r="G1388" i="4"/>
  <c r="C1388" i="4"/>
  <c r="B1388" i="4"/>
  <c r="AH1387" i="4"/>
  <c r="M1387" i="4"/>
  <c r="G1387" i="4"/>
  <c r="C1387" i="4"/>
  <c r="B1387" i="4"/>
  <c r="AH1386" i="4"/>
  <c r="AD1386" i="4"/>
  <c r="AC1386" i="4"/>
  <c r="M1386" i="4"/>
  <c r="G1386" i="4"/>
  <c r="C1386" i="4"/>
  <c r="B1386" i="4"/>
  <c r="AH1385" i="4"/>
  <c r="AD1385" i="4"/>
  <c r="M1385" i="4"/>
  <c r="G1385" i="4"/>
  <c r="C1385" i="4"/>
  <c r="B1385" i="4"/>
  <c r="AH1384" i="4"/>
  <c r="M1384" i="4"/>
  <c r="G1384" i="4"/>
  <c r="C1384" i="4"/>
  <c r="B1384" i="4"/>
  <c r="AH1383" i="4"/>
  <c r="AD1383" i="4"/>
  <c r="AB1383" i="4"/>
  <c r="M1383" i="4"/>
  <c r="G1383" i="4"/>
  <c r="C1383" i="4"/>
  <c r="B1383" i="4"/>
  <c r="AH1382" i="4"/>
  <c r="AB1382" i="4"/>
  <c r="M1382" i="4"/>
  <c r="G1382" i="4"/>
  <c r="C1382" i="4"/>
  <c r="B1382" i="4"/>
  <c r="F102" i="1"/>
  <c r="AB102" i="1"/>
  <c r="AC102" i="1"/>
  <c r="AD102" i="1"/>
  <c r="AF102" i="1"/>
  <c r="AG102" i="1" s="1"/>
  <c r="AH102" i="1"/>
  <c r="C100" i="15"/>
  <c r="AD1369" i="4"/>
  <c r="AD1370" i="4"/>
  <c r="AD1372" i="4"/>
  <c r="AD1373" i="4"/>
  <c r="AB1374" i="4"/>
  <c r="AC1375" i="4"/>
  <c r="AD1376" i="4"/>
  <c r="AD1377" i="4"/>
  <c r="AB1378" i="4"/>
  <c r="AD1379" i="4"/>
  <c r="AC1380" i="4"/>
  <c r="AA1370" i="4"/>
  <c r="AA1372" i="4"/>
  <c r="AA1373" i="4"/>
  <c r="AA1378" i="4"/>
  <c r="AA1379" i="4"/>
  <c r="AA1380" i="4"/>
  <c r="AH1381" i="4"/>
  <c r="M1381" i="4"/>
  <c r="G1381" i="4"/>
  <c r="C1381" i="4"/>
  <c r="B1381" i="4"/>
  <c r="AH1380" i="4"/>
  <c r="M1380" i="4"/>
  <c r="G1380" i="4"/>
  <c r="C1380" i="4"/>
  <c r="B1380" i="4"/>
  <c r="AH1379" i="4"/>
  <c r="AB1379" i="4"/>
  <c r="M1379" i="4"/>
  <c r="G1379" i="4"/>
  <c r="C1379" i="4"/>
  <c r="B1379" i="4"/>
  <c r="AH1378" i="4"/>
  <c r="AD1378" i="4"/>
  <c r="AC1378" i="4"/>
  <c r="M1378" i="4"/>
  <c r="G1378" i="4"/>
  <c r="C1378" i="4"/>
  <c r="B1378" i="4"/>
  <c r="AH1377" i="4"/>
  <c r="M1377" i="4"/>
  <c r="G1377" i="4"/>
  <c r="C1377" i="4"/>
  <c r="B1377" i="4"/>
  <c r="AH1376" i="4"/>
  <c r="M1376" i="4"/>
  <c r="G1376" i="4"/>
  <c r="C1376" i="4"/>
  <c r="B1376" i="4"/>
  <c r="AH1375" i="4"/>
  <c r="M1375" i="4"/>
  <c r="G1375" i="4"/>
  <c r="C1375" i="4"/>
  <c r="B1375" i="4"/>
  <c r="AH1374" i="4"/>
  <c r="M1374" i="4"/>
  <c r="G1374" i="4"/>
  <c r="C1374" i="4"/>
  <c r="B1374" i="4"/>
  <c r="AH1373" i="4"/>
  <c r="AC1373" i="4"/>
  <c r="AB1373" i="4"/>
  <c r="M1373" i="4"/>
  <c r="G1373" i="4"/>
  <c r="C1373" i="4"/>
  <c r="B1373" i="4"/>
  <c r="AH1372" i="4"/>
  <c r="AB1372" i="4"/>
  <c r="M1372" i="4"/>
  <c r="G1372" i="4"/>
  <c r="C1372" i="4"/>
  <c r="B1372" i="4"/>
  <c r="AH1371" i="4"/>
  <c r="M1371" i="4"/>
  <c r="G1371" i="4"/>
  <c r="C1371" i="4"/>
  <c r="B1371" i="4"/>
  <c r="AH1370" i="4"/>
  <c r="AC1370" i="4"/>
  <c r="M1370" i="4"/>
  <c r="G1370" i="4"/>
  <c r="C1370" i="4"/>
  <c r="B1370" i="4"/>
  <c r="AH1369" i="4"/>
  <c r="AB1369" i="4"/>
  <c r="AA1369" i="4"/>
  <c r="M1369" i="4"/>
  <c r="G1369" i="4"/>
  <c r="C1369" i="4"/>
  <c r="B1369" i="4"/>
  <c r="H99" i="7"/>
  <c r="A99" i="7" s="1"/>
  <c r="G101" i="6"/>
  <c r="I101" i="6"/>
  <c r="F101" i="1"/>
  <c r="AB101" i="1"/>
  <c r="AC101" i="1"/>
  <c r="AD101" i="1"/>
  <c r="AF101" i="1"/>
  <c r="AG101" i="1" s="1"/>
  <c r="AH101" i="1"/>
  <c r="AH1368" i="4"/>
  <c r="M1368" i="4"/>
  <c r="G1368" i="4"/>
  <c r="C1368" i="4"/>
  <c r="B1368" i="4"/>
  <c r="AH1367" i="4"/>
  <c r="AA1367" i="4"/>
  <c r="AD1367" i="4"/>
  <c r="M1367" i="4"/>
  <c r="G1367" i="4"/>
  <c r="C1367" i="4"/>
  <c r="B1367" i="4"/>
  <c r="AH1366" i="4"/>
  <c r="AD1366" i="4"/>
  <c r="M1366" i="4"/>
  <c r="G1366" i="4"/>
  <c r="C1366" i="4"/>
  <c r="B1366" i="4"/>
  <c r="AH1365" i="4"/>
  <c r="AD1365" i="4"/>
  <c r="M1365" i="4"/>
  <c r="G1365" i="4"/>
  <c r="C1365" i="4"/>
  <c r="B1365" i="4"/>
  <c r="AH1364" i="4"/>
  <c r="AD1364" i="4"/>
  <c r="M1364" i="4"/>
  <c r="G1364" i="4"/>
  <c r="C1364" i="4"/>
  <c r="B1364" i="4"/>
  <c r="AH1363" i="4"/>
  <c r="AD1363" i="4"/>
  <c r="M1363" i="4"/>
  <c r="G1363" i="4"/>
  <c r="C1363" i="4"/>
  <c r="B1363" i="4"/>
  <c r="AH1362" i="4"/>
  <c r="AB1362" i="4"/>
  <c r="M1362" i="4"/>
  <c r="G1362" i="4"/>
  <c r="C1362" i="4"/>
  <c r="B1362" i="4"/>
  <c r="AH1361" i="4"/>
  <c r="AB1361" i="4"/>
  <c r="M1361" i="4"/>
  <c r="G1361" i="4"/>
  <c r="C1361" i="4"/>
  <c r="B1361" i="4"/>
  <c r="AH1360" i="4"/>
  <c r="AB1360" i="4"/>
  <c r="M1360" i="4"/>
  <c r="G1360" i="4"/>
  <c r="C1360" i="4"/>
  <c r="B1360" i="4"/>
  <c r="AH1359" i="4"/>
  <c r="AB1359" i="4"/>
  <c r="M1359" i="4"/>
  <c r="G1359" i="4"/>
  <c r="C1359" i="4"/>
  <c r="B1359" i="4"/>
  <c r="AH1358" i="4"/>
  <c r="M1358" i="4"/>
  <c r="G1358" i="4"/>
  <c r="C1358" i="4"/>
  <c r="B1358" i="4"/>
  <c r="AH1357" i="4"/>
  <c r="AB1357" i="4"/>
  <c r="M1357" i="4"/>
  <c r="G1357" i="4"/>
  <c r="C1357" i="4"/>
  <c r="B1357" i="4"/>
  <c r="AH1356" i="4"/>
  <c r="AB1356" i="4"/>
  <c r="M1356" i="4"/>
  <c r="G1356" i="4"/>
  <c r="C1356" i="4"/>
  <c r="B1356" i="4"/>
  <c r="C98" i="7"/>
  <c r="F98" i="7"/>
  <c r="G98" i="7" s="1"/>
  <c r="H98" i="7"/>
  <c r="A98" i="7" s="1"/>
  <c r="G100" i="6"/>
  <c r="I100" i="6"/>
  <c r="G99" i="6"/>
  <c r="I99" i="6"/>
  <c r="F100" i="1"/>
  <c r="AB100" i="1"/>
  <c r="AC100" i="1"/>
  <c r="AD100" i="1"/>
  <c r="AF100" i="1"/>
  <c r="AG100" i="1" s="1"/>
  <c r="AH100" i="1"/>
  <c r="AH1355" i="4"/>
  <c r="M1355" i="4"/>
  <c r="G1355" i="4"/>
  <c r="C1355" i="4"/>
  <c r="B1355" i="4"/>
  <c r="AH1354" i="4"/>
  <c r="M1354" i="4"/>
  <c r="G1354" i="4"/>
  <c r="C1354" i="4"/>
  <c r="B1354" i="4"/>
  <c r="AH1353" i="4"/>
  <c r="M1353" i="4"/>
  <c r="G1353" i="4"/>
  <c r="C1353" i="4"/>
  <c r="B1353" i="4"/>
  <c r="AH1352" i="4"/>
  <c r="M1352" i="4"/>
  <c r="G1352" i="4"/>
  <c r="C1352" i="4"/>
  <c r="B1352" i="4"/>
  <c r="AH1351" i="4"/>
  <c r="M1351" i="4"/>
  <c r="G1351" i="4"/>
  <c r="C1351" i="4"/>
  <c r="B1351" i="4"/>
  <c r="AH1350" i="4"/>
  <c r="M1350" i="4"/>
  <c r="G1350" i="4"/>
  <c r="C1350" i="4"/>
  <c r="B1350" i="4"/>
  <c r="AH1349" i="4"/>
  <c r="M1349" i="4"/>
  <c r="G1349" i="4"/>
  <c r="C1349" i="4"/>
  <c r="B1349" i="4"/>
  <c r="AH1348" i="4"/>
  <c r="M1348" i="4"/>
  <c r="G1348" i="4"/>
  <c r="C1348" i="4"/>
  <c r="B1348" i="4"/>
  <c r="AH1347" i="4"/>
  <c r="M1347" i="4"/>
  <c r="G1347" i="4"/>
  <c r="C1347" i="4"/>
  <c r="B1347" i="4"/>
  <c r="AH1346" i="4"/>
  <c r="M1346" i="4"/>
  <c r="G1346" i="4"/>
  <c r="C1346" i="4"/>
  <c r="B1346" i="4"/>
  <c r="AH1345" i="4"/>
  <c r="M1345" i="4"/>
  <c r="G1345" i="4"/>
  <c r="C1345" i="4"/>
  <c r="B1345" i="4"/>
  <c r="AH1344" i="4"/>
  <c r="M1344" i="4"/>
  <c r="G1344" i="4"/>
  <c r="C1344" i="4"/>
  <c r="B1344" i="4"/>
  <c r="AH1343" i="4"/>
  <c r="M1343" i="4"/>
  <c r="G1343" i="4"/>
  <c r="C1343" i="4"/>
  <c r="B1343" i="4"/>
  <c r="A97" i="7"/>
  <c r="C97" i="7"/>
  <c r="F97" i="7"/>
  <c r="G97" i="7" s="1"/>
  <c r="H97" i="7"/>
  <c r="B97" i="7" s="1"/>
  <c r="G98" i="6"/>
  <c r="I98" i="6"/>
  <c r="F99" i="1"/>
  <c r="AB99" i="1"/>
  <c r="AC99" i="1"/>
  <c r="AD99" i="1"/>
  <c r="AF99" i="1"/>
  <c r="AG99" i="1" s="1"/>
  <c r="AH99" i="1"/>
  <c r="AD1330" i="4"/>
  <c r="AD1331" i="4"/>
  <c r="AD1333" i="4"/>
  <c r="AD1334" i="4"/>
  <c r="AB1335" i="4"/>
  <c r="AB1336" i="4"/>
  <c r="AC1337" i="4"/>
  <c r="AD1338" i="4"/>
  <c r="AC1339" i="4"/>
  <c r="AD1340" i="4"/>
  <c r="AB1341" i="4"/>
  <c r="AA1331" i="4"/>
  <c r="AA1333" i="4"/>
  <c r="AA1334" i="4"/>
  <c r="AA1335" i="4"/>
  <c r="AA1336" i="4"/>
  <c r="AA1337" i="4"/>
  <c r="AA1338" i="4"/>
  <c r="AA1339" i="4"/>
  <c r="AA1341" i="4"/>
  <c r="AH1342" i="4"/>
  <c r="M1342" i="4"/>
  <c r="G1342" i="4"/>
  <c r="C1342" i="4"/>
  <c r="B1342" i="4"/>
  <c r="AH1341" i="4"/>
  <c r="M1341" i="4"/>
  <c r="G1341" i="4"/>
  <c r="C1341" i="4"/>
  <c r="B1341" i="4"/>
  <c r="AH1340" i="4"/>
  <c r="M1340" i="4"/>
  <c r="G1340" i="4"/>
  <c r="C1340" i="4"/>
  <c r="B1340" i="4"/>
  <c r="AH1339" i="4"/>
  <c r="M1339" i="4"/>
  <c r="G1339" i="4"/>
  <c r="C1339" i="4"/>
  <c r="B1339" i="4"/>
  <c r="AH1338" i="4"/>
  <c r="M1338" i="4"/>
  <c r="G1338" i="4"/>
  <c r="C1338" i="4"/>
  <c r="B1338" i="4"/>
  <c r="AH1337" i="4"/>
  <c r="AD1337" i="4"/>
  <c r="M1337" i="4"/>
  <c r="G1337" i="4"/>
  <c r="C1337" i="4"/>
  <c r="B1337" i="4"/>
  <c r="AH1336" i="4"/>
  <c r="M1336" i="4"/>
  <c r="G1336" i="4"/>
  <c r="C1336" i="4"/>
  <c r="B1336" i="4"/>
  <c r="AH1335" i="4"/>
  <c r="M1335" i="4"/>
  <c r="G1335" i="4"/>
  <c r="C1335" i="4"/>
  <c r="B1335" i="4"/>
  <c r="AH1334" i="4"/>
  <c r="M1334" i="4"/>
  <c r="G1334" i="4"/>
  <c r="C1334" i="4"/>
  <c r="B1334" i="4"/>
  <c r="AH1333" i="4"/>
  <c r="M1333" i="4"/>
  <c r="G1333" i="4"/>
  <c r="C1333" i="4"/>
  <c r="B1333" i="4"/>
  <c r="AH1332" i="4"/>
  <c r="M1332" i="4"/>
  <c r="G1332" i="4"/>
  <c r="C1332" i="4"/>
  <c r="B1332" i="4"/>
  <c r="AH1331" i="4"/>
  <c r="M1331" i="4"/>
  <c r="G1331" i="4"/>
  <c r="C1331" i="4"/>
  <c r="B1331" i="4"/>
  <c r="AH1330" i="4"/>
  <c r="AA1330" i="4"/>
  <c r="M1330" i="4"/>
  <c r="G1330" i="4"/>
  <c r="C1330" i="4"/>
  <c r="B1330" i="4"/>
  <c r="A96" i="7"/>
  <c r="B96" i="7"/>
  <c r="H96" i="7"/>
  <c r="C96" i="7" s="1"/>
  <c r="G97" i="6"/>
  <c r="I97" i="6"/>
  <c r="A43" i="11"/>
  <c r="G43" i="11"/>
  <c r="M43" i="11"/>
  <c r="P43" i="11"/>
  <c r="W43" i="11"/>
  <c r="X43" i="11"/>
  <c r="Y43" i="11"/>
  <c r="AD43" i="11"/>
  <c r="F98" i="1"/>
  <c r="AB98" i="1"/>
  <c r="AC98" i="1"/>
  <c r="AD98" i="1"/>
  <c r="AF98" i="1"/>
  <c r="AG98" i="1" s="1"/>
  <c r="AH98" i="1"/>
  <c r="AB1317" i="4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M1317" i="4"/>
  <c r="AH1317" i="4"/>
  <c r="B1318" i="4"/>
  <c r="C1318" i="4"/>
  <c r="G1318" i="4"/>
  <c r="M1318" i="4"/>
  <c r="AC1318" i="4"/>
  <c r="AD1318" i="4"/>
  <c r="AH1318" i="4"/>
  <c r="B1319" i="4"/>
  <c r="C1319" i="4"/>
  <c r="G1319" i="4"/>
  <c r="M1319" i="4"/>
  <c r="AH1319" i="4"/>
  <c r="B1320" i="4"/>
  <c r="C1320" i="4"/>
  <c r="G1320" i="4"/>
  <c r="M1320" i="4"/>
  <c r="AH1320" i="4"/>
  <c r="B1321" i="4"/>
  <c r="C1321" i="4"/>
  <c r="G1321" i="4"/>
  <c r="M1321" i="4"/>
  <c r="AH1321" i="4"/>
  <c r="B1322" i="4"/>
  <c r="C1322" i="4"/>
  <c r="G1322" i="4"/>
  <c r="M1322" i="4"/>
  <c r="AH1322" i="4"/>
  <c r="B1323" i="4"/>
  <c r="C1323" i="4"/>
  <c r="G1323" i="4"/>
  <c r="M1323" i="4"/>
  <c r="AH1323" i="4"/>
  <c r="B1324" i="4"/>
  <c r="C1324" i="4"/>
  <c r="G1324" i="4"/>
  <c r="M1324" i="4"/>
  <c r="AH1324" i="4"/>
  <c r="B1325" i="4"/>
  <c r="C1325" i="4"/>
  <c r="G1325" i="4"/>
  <c r="M1325" i="4"/>
  <c r="AH1325" i="4"/>
  <c r="B1326" i="4"/>
  <c r="C1326" i="4"/>
  <c r="G1326" i="4"/>
  <c r="M1326" i="4"/>
  <c r="AA1326" i="4"/>
  <c r="AD1326" i="4"/>
  <c r="AH1326" i="4"/>
  <c r="B1327" i="4"/>
  <c r="C1327" i="4"/>
  <c r="G1327" i="4"/>
  <c r="M1327" i="4"/>
  <c r="AH1327" i="4"/>
  <c r="B1328" i="4"/>
  <c r="C1328" i="4"/>
  <c r="G1328" i="4"/>
  <c r="M1328" i="4"/>
  <c r="AH1328" i="4"/>
  <c r="B1329" i="4"/>
  <c r="C1329" i="4"/>
  <c r="G1329" i="4"/>
  <c r="M1329" i="4"/>
  <c r="AH1329" i="4"/>
  <c r="B95" i="7"/>
  <c r="F95" i="7"/>
  <c r="G95" i="7" s="1"/>
  <c r="H95" i="7"/>
  <c r="A95" i="7" s="1"/>
  <c r="G96" i="6"/>
  <c r="I96" i="6"/>
  <c r="F97" i="1"/>
  <c r="AB97" i="1"/>
  <c r="AC97" i="1"/>
  <c r="AD97" i="1"/>
  <c r="AF97" i="1"/>
  <c r="AG97" i="1" s="1"/>
  <c r="AH97" i="1"/>
  <c r="AI1383" i="4" l="1"/>
  <c r="AI1387" i="4"/>
  <c r="AI1385" i="4"/>
  <c r="AE103" i="1"/>
  <c r="AI1382" i="4"/>
  <c r="AI1390" i="4"/>
  <c r="AI1389" i="4"/>
  <c r="AI1386" i="4"/>
  <c r="AE100" i="1"/>
  <c r="AE99" i="1"/>
  <c r="AE101" i="1"/>
  <c r="F100" i="7"/>
  <c r="G100" i="7" s="1"/>
  <c r="C100" i="7"/>
  <c r="B100" i="7"/>
  <c r="AB1393" i="4"/>
  <c r="AD1393" i="4"/>
  <c r="AI1393" i="4" s="1"/>
  <c r="AI1392" i="4"/>
  <c r="AD1391" i="4"/>
  <c r="AI1391" i="4" s="1"/>
  <c r="AC1391" i="4"/>
  <c r="AC1390" i="4"/>
  <c r="AC1389" i="4"/>
  <c r="AB1389" i="4"/>
  <c r="AI1388" i="4"/>
  <c r="AB1387" i="4"/>
  <c r="AC1387" i="4"/>
  <c r="AB1385" i="4"/>
  <c r="AC1382" i="4"/>
  <c r="AB1390" i="4"/>
  <c r="AE102" i="1"/>
  <c r="AD1375" i="4"/>
  <c r="AI1375" i="4" s="1"/>
  <c r="AA1376" i="4"/>
  <c r="AI1378" i="4"/>
  <c r="AI1377" i="4"/>
  <c r="AA1375" i="4"/>
  <c r="AA1374" i="4"/>
  <c r="AI1376" i="4"/>
  <c r="AI1373" i="4"/>
  <c r="AA1377" i="4"/>
  <c r="AI1372" i="4"/>
  <c r="AI1379" i="4"/>
  <c r="AI1370" i="4"/>
  <c r="AC1374" i="4"/>
  <c r="AC1377" i="4"/>
  <c r="AI1369" i="4"/>
  <c r="AB1380" i="4"/>
  <c r="AD1380" i="4"/>
  <c r="AI1380" i="4" s="1"/>
  <c r="AC1379" i="4"/>
  <c r="AB1376" i="4"/>
  <c r="AC1376" i="4"/>
  <c r="AB1375" i="4"/>
  <c r="AD1374" i="4"/>
  <c r="AI1374" i="4" s="1"/>
  <c r="AC1372" i="4"/>
  <c r="AB1370" i="4"/>
  <c r="AC1369" i="4"/>
  <c r="AI1338" i="4"/>
  <c r="AI1365" i="4"/>
  <c r="AI1364" i="4"/>
  <c r="AB1377" i="4"/>
  <c r="AI1363" i="4"/>
  <c r="AI1367" i="4"/>
  <c r="AI1366" i="4"/>
  <c r="F99" i="7"/>
  <c r="G99" i="7" s="1"/>
  <c r="C99" i="7"/>
  <c r="B99" i="7"/>
  <c r="AA1360" i="4"/>
  <c r="AA1363" i="4"/>
  <c r="AA1365" i="4"/>
  <c r="AA1359" i="4"/>
  <c r="AA1366" i="4"/>
  <c r="AA1361" i="4"/>
  <c r="AA1362" i="4"/>
  <c r="AA1357" i="4"/>
  <c r="AA1364" i="4"/>
  <c r="AA1356" i="4"/>
  <c r="AC1362" i="4"/>
  <c r="AD1362" i="4"/>
  <c r="AI1362" i="4" s="1"/>
  <c r="AC1361" i="4"/>
  <c r="AD1361" i="4"/>
  <c r="AI1361" i="4" s="1"/>
  <c r="AC1360" i="4"/>
  <c r="AD1360" i="4"/>
  <c r="AI1360" i="4" s="1"/>
  <c r="AC1359" i="4"/>
  <c r="AD1359" i="4"/>
  <c r="AI1359" i="4" s="1"/>
  <c r="AC1357" i="4"/>
  <c r="AD1357" i="4"/>
  <c r="AI1357" i="4" s="1"/>
  <c r="AC1356" i="4"/>
  <c r="AD1356" i="4"/>
  <c r="AI1356" i="4" s="1"/>
  <c r="AB1363" i="4"/>
  <c r="AB1364" i="4"/>
  <c r="AB1365" i="4"/>
  <c r="AB1366" i="4"/>
  <c r="AB1367" i="4"/>
  <c r="AC1363" i="4"/>
  <c r="AC1364" i="4"/>
  <c r="AC1365" i="4"/>
  <c r="AC1366" i="4"/>
  <c r="AC1367" i="4"/>
  <c r="AI1333" i="4"/>
  <c r="B98" i="7"/>
  <c r="AI1334" i="4"/>
  <c r="AI1340" i="4"/>
  <c r="AI1331" i="4"/>
  <c r="AI1330" i="4"/>
  <c r="AI1337" i="4"/>
  <c r="AE98" i="1"/>
  <c r="AC1341" i="4"/>
  <c r="AD1341" i="4"/>
  <c r="AI1341" i="4" s="1"/>
  <c r="AA1340" i="4"/>
  <c r="AB1340" i="4"/>
  <c r="AC1340" i="4"/>
  <c r="AD1339" i="4"/>
  <c r="AI1339" i="4" s="1"/>
  <c r="AB1339" i="4"/>
  <c r="AB1338" i="4"/>
  <c r="AC1338" i="4"/>
  <c r="AB1337" i="4"/>
  <c r="AC1336" i="4"/>
  <c r="AD1336" i="4"/>
  <c r="AI1336" i="4" s="1"/>
  <c r="AC1335" i="4"/>
  <c r="AD1335" i="4"/>
  <c r="AI1335" i="4" s="1"/>
  <c r="AB1334" i="4"/>
  <c r="AC1334" i="4"/>
  <c r="AB1333" i="4"/>
  <c r="AC1333" i="4"/>
  <c r="AB1331" i="4"/>
  <c r="AC1331" i="4"/>
  <c r="AB1330" i="4"/>
  <c r="AC1330" i="4"/>
  <c r="F96" i="7"/>
  <c r="G96" i="7" s="1"/>
  <c r="AB43" i="11"/>
  <c r="AE97" i="1"/>
  <c r="AI1326" i="4"/>
  <c r="AI1318" i="4"/>
  <c r="AI1327" i="4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7" i="4"/>
  <c r="AI1317" i="4" s="1"/>
  <c r="AC1317" i="4"/>
  <c r="AD1325" i="4"/>
  <c r="AI1325" i="4" s="1"/>
  <c r="AC1325" i="4"/>
  <c r="AB1325" i="4"/>
  <c r="C95" i="7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G95" i="6"/>
  <c r="I95" i="6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I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G93" i="6"/>
  <c r="I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G92" i="6"/>
  <c r="I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G91" i="6"/>
  <c r="I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AI1282" i="4" l="1"/>
  <c r="AI1310" i="4"/>
  <c r="AI1304" i="4"/>
  <c r="AI1305" i="4"/>
  <c r="AI1309" i="4"/>
  <c r="AI1313" i="4"/>
  <c r="AI1312" i="4"/>
  <c r="AI1311" i="4"/>
  <c r="AI1287" i="4"/>
  <c r="AI1308" i="4"/>
  <c r="AI1307" i="4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AE96" i="1"/>
  <c r="AE95" i="1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AE94" i="1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AB1226" i="4" l="1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AI1234" i="4" l="1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G37" i="11" l="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C1" i="12"/>
  <c r="M4" i="12" s="1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K4" i="12" l="1"/>
  <c r="O4" i="12"/>
  <c r="AE76" i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C45" i="15" l="1"/>
  <c r="B45" i="15"/>
  <c r="H46" i="15"/>
  <c r="H47" i="15" l="1"/>
  <c r="C46" i="15"/>
  <c r="B46" i="15"/>
  <c r="H48" i="15" l="1"/>
  <c r="C47" i="15"/>
  <c r="B47" i="15"/>
  <c r="B48" i="15" l="1"/>
  <c r="H49" i="15"/>
  <c r="C48" i="15"/>
  <c r="C49" i="15" l="1"/>
  <c r="H50" i="15"/>
  <c r="B49" i="15"/>
  <c r="H51" i="15" l="1"/>
  <c r="C50" i="15"/>
  <c r="B50" i="15"/>
  <c r="C51" i="15" l="1"/>
  <c r="B51" i="15"/>
  <c r="H52" i="15"/>
  <c r="C52" i="15" l="1"/>
  <c r="B52" i="15"/>
  <c r="H53" i="15"/>
  <c r="C53" i="15" l="1"/>
  <c r="B53" i="15"/>
  <c r="H54" i="15"/>
  <c r="H55" i="15" l="1"/>
  <c r="C54" i="15"/>
  <c r="B54" i="15"/>
  <c r="H56" i="15" l="1"/>
  <c r="C55" i="15"/>
  <c r="B55" i="15"/>
  <c r="H57" i="15" l="1"/>
  <c r="C56" i="15"/>
  <c r="B56" i="15"/>
  <c r="C57" i="15" l="1"/>
  <c r="H58" i="15"/>
  <c r="B57" i="15"/>
  <c r="H59" i="15" l="1"/>
  <c r="C58" i="15"/>
  <c r="B58" i="15"/>
  <c r="H60" i="15" l="1"/>
  <c r="C59" i="15"/>
  <c r="B59" i="15"/>
  <c r="C60" i="15" l="1"/>
  <c r="B60" i="15"/>
  <c r="H61" i="15"/>
  <c r="C61" i="15" l="1"/>
  <c r="B61" i="15"/>
  <c r="H62" i="15"/>
  <c r="H63" i="15" l="1"/>
  <c r="C62" i="15"/>
  <c r="B62" i="15"/>
  <c r="H64" i="15" l="1"/>
  <c r="C63" i="15"/>
  <c r="B63" i="15"/>
  <c r="C64" i="15" l="1"/>
  <c r="B64" i="15"/>
  <c r="H65" i="15"/>
  <c r="H66" i="15" l="1"/>
  <c r="C65" i="15"/>
  <c r="B65" i="15"/>
  <c r="H67" i="15" l="1"/>
  <c r="C66" i="15"/>
  <c r="B66" i="15"/>
  <c r="C67" i="15" l="1"/>
  <c r="B67" i="15"/>
  <c r="H68" i="15"/>
  <c r="C68" i="15" l="1"/>
  <c r="B68" i="15"/>
  <c r="H69" i="15"/>
  <c r="C69" i="15" l="1"/>
  <c r="B69" i="15"/>
  <c r="H70" i="15"/>
  <c r="H71" i="15" l="1"/>
  <c r="C70" i="15"/>
  <c r="B70" i="15"/>
  <c r="H72" i="15" l="1"/>
  <c r="C71" i="15"/>
  <c r="B71" i="15"/>
  <c r="C72" i="15" l="1"/>
  <c r="B72" i="15"/>
  <c r="H73" i="15"/>
  <c r="C73" i="15" l="1"/>
  <c r="H74" i="15"/>
  <c r="B73" i="15"/>
  <c r="H75" i="15" l="1"/>
  <c r="C74" i="15"/>
  <c r="B74" i="15"/>
  <c r="H76" i="15" l="1"/>
  <c r="C75" i="15"/>
  <c r="B75" i="15"/>
  <c r="C76" i="15" l="1"/>
  <c r="B76" i="15"/>
  <c r="H77" i="15"/>
  <c r="C77" i="15" l="1"/>
  <c r="B77" i="15"/>
  <c r="H78" i="15"/>
  <c r="H79" i="15" l="1"/>
  <c r="C78" i="15"/>
  <c r="B78" i="15"/>
  <c r="H80" i="15" l="1"/>
  <c r="C79" i="15"/>
  <c r="B79" i="15"/>
  <c r="H81" i="15" l="1"/>
  <c r="B80" i="15"/>
  <c r="C80" i="15"/>
  <c r="C81" i="15" l="1"/>
  <c r="H82" i="15"/>
  <c r="B81" i="15"/>
  <c r="H83" i="15" l="1"/>
  <c r="C82" i="15"/>
  <c r="B82" i="15"/>
  <c r="C83" i="15" l="1"/>
  <c r="B83" i="15"/>
  <c r="H84" i="15"/>
  <c r="C84" i="15" l="1"/>
  <c r="B84" i="15"/>
  <c r="H85" i="15"/>
  <c r="C85" i="15" l="1"/>
  <c r="B85" i="15"/>
  <c r="H86" i="15"/>
  <c r="H87" i="15" l="1"/>
  <c r="C86" i="15"/>
  <c r="B86" i="15"/>
  <c r="H88" i="15" l="1"/>
  <c r="C87" i="15"/>
  <c r="B87" i="15"/>
  <c r="B88" i="15" l="1"/>
  <c r="H89" i="15"/>
  <c r="C88" i="15"/>
  <c r="C89" i="15" l="1"/>
  <c r="H90" i="15"/>
  <c r="B89" i="15"/>
  <c r="H91" i="15" l="1"/>
  <c r="C90" i="15"/>
  <c r="B90" i="15"/>
  <c r="H92" i="15" l="1"/>
  <c r="C91" i="15"/>
  <c r="B91" i="15"/>
  <c r="C92" i="15" l="1"/>
  <c r="B92" i="15"/>
  <c r="H93" i="15"/>
  <c r="C93" i="15" l="1"/>
  <c r="B93" i="15"/>
  <c r="H94" i="15"/>
  <c r="H95" i="15" l="1"/>
  <c r="C94" i="15"/>
  <c r="B94" i="15"/>
  <c r="H96" i="15" l="1"/>
  <c r="C95" i="15"/>
  <c r="B95" i="15"/>
  <c r="H97" i="15" l="1"/>
  <c r="C96" i="15"/>
  <c r="B96" i="15"/>
  <c r="C97" i="15" l="1"/>
  <c r="H98" i="15"/>
  <c r="B97" i="15"/>
  <c r="H99" i="15" l="1"/>
  <c r="C98" i="15"/>
  <c r="B98" i="15"/>
  <c r="C99" i="15" l="1"/>
  <c r="B99" i="15"/>
  <c r="H100" i="15"/>
  <c r="B100" i="15" l="1"/>
  <c r="H101" i="15"/>
  <c r="B101" i="15" l="1"/>
  <c r="H102" i="15"/>
  <c r="H103" i="15" l="1"/>
  <c r="C102" i="15"/>
  <c r="B102" i="15"/>
  <c r="H104" i="15" l="1"/>
  <c r="C103" i="15"/>
  <c r="B103" i="15"/>
  <c r="B104" i="15" l="1"/>
  <c r="H105" i="15"/>
  <c r="C104" i="15"/>
  <c r="C105" i="15" l="1"/>
  <c r="H106" i="15"/>
  <c r="B105" i="15"/>
  <c r="H107" i="15" l="1"/>
  <c r="C106" i="15"/>
  <c r="B106" i="15"/>
  <c r="H108" i="15" l="1"/>
  <c r="C107" i="15"/>
  <c r="B107" i="15"/>
  <c r="C108" i="15" l="1"/>
  <c r="B108" i="15"/>
  <c r="H109" i="15"/>
  <c r="C109" i="15" l="1"/>
  <c r="B109" i="15"/>
  <c r="H110" i="15"/>
  <c r="H111" i="15" l="1"/>
  <c r="C110" i="15"/>
  <c r="B110" i="15"/>
  <c r="H112" i="15" l="1"/>
  <c r="C111" i="15"/>
  <c r="B111" i="15"/>
  <c r="C112" i="15" l="1"/>
  <c r="B112" i="15"/>
  <c r="H113" i="15"/>
  <c r="C113" i="15" l="1"/>
  <c r="H114" i="15"/>
  <c r="B113" i="15"/>
  <c r="H115" i="15" l="1"/>
  <c r="C114" i="15"/>
  <c r="B114" i="15"/>
  <c r="H116" i="15" l="1"/>
  <c r="C115" i="15"/>
  <c r="B115" i="15"/>
  <c r="C116" i="15" l="1"/>
  <c r="B116" i="15"/>
  <c r="H117" i="15"/>
  <c r="C117" i="15" l="1"/>
  <c r="B117" i="15"/>
  <c r="H118" i="15"/>
  <c r="H119" i="15" l="1"/>
  <c r="C118" i="15"/>
  <c r="B118" i="15"/>
  <c r="H120" i="15" l="1"/>
  <c r="C119" i="15"/>
  <c r="B119" i="15"/>
  <c r="H121" i="15" l="1"/>
  <c r="C120" i="15"/>
  <c r="B120" i="15"/>
  <c r="C121" i="15" l="1"/>
  <c r="H122" i="15"/>
  <c r="B121" i="15"/>
  <c r="H123" i="15" l="1"/>
  <c r="C122" i="15"/>
  <c r="B122" i="15"/>
  <c r="C123" i="15" l="1"/>
  <c r="B123" i="15"/>
  <c r="H124" i="15"/>
  <c r="C124" i="15" l="1"/>
  <c r="B124" i="15"/>
  <c r="H125" i="15"/>
  <c r="C125" i="15" l="1"/>
  <c r="B125" i="15"/>
  <c r="H126" i="15"/>
  <c r="H127" i="15" l="1"/>
  <c r="C126" i="15"/>
  <c r="B126" i="15"/>
  <c r="H128" i="15" l="1"/>
  <c r="C127" i="15"/>
  <c r="B127" i="15"/>
  <c r="C128" i="15" l="1"/>
  <c r="B128" i="15"/>
  <c r="H129" i="15"/>
  <c r="C129" i="15" l="1"/>
  <c r="H130" i="15"/>
  <c r="B129" i="15"/>
  <c r="H131" i="15" l="1"/>
  <c r="C130" i="15"/>
  <c r="B130" i="15"/>
  <c r="H132" i="15" l="1"/>
  <c r="C131" i="15"/>
  <c r="B131" i="15"/>
  <c r="C132" i="15" l="1"/>
  <c r="B132" i="15"/>
  <c r="H133" i="15"/>
  <c r="C133" i="15" l="1"/>
  <c r="B133" i="15"/>
  <c r="H134" i="15"/>
  <c r="H135" i="15" l="1"/>
  <c r="C134" i="15"/>
  <c r="B134" i="15"/>
  <c r="H136" i="15" l="1"/>
  <c r="C135" i="15"/>
  <c r="B135" i="15"/>
  <c r="C136" i="15" l="1"/>
  <c r="B136" i="15"/>
  <c r="H137" i="15"/>
  <c r="C137" i="15" l="1"/>
  <c r="H138" i="15"/>
  <c r="B137" i="15"/>
  <c r="H139" i="15" l="1"/>
  <c r="C138" i="15"/>
  <c r="B138" i="15"/>
  <c r="C139" i="15" l="1"/>
  <c r="B139" i="15"/>
  <c r="H140" i="15"/>
  <c r="C140" i="15" l="1"/>
  <c r="B140" i="15"/>
  <c r="H141" i="15"/>
  <c r="C141" i="15" l="1"/>
  <c r="B141" i="15"/>
  <c r="H142" i="15"/>
  <c r="H143" i="15" l="1"/>
  <c r="C142" i="15"/>
  <c r="B142" i="15"/>
  <c r="H144" i="15" l="1"/>
  <c r="C143" i="15"/>
  <c r="B143" i="15"/>
  <c r="H145" i="15" l="1"/>
  <c r="C144" i="15"/>
  <c r="B144" i="15"/>
  <c r="C145" i="15" l="1"/>
  <c r="H146" i="15"/>
  <c r="B145" i="15"/>
  <c r="H147" i="15" l="1"/>
  <c r="C146" i="15"/>
  <c r="B146" i="15"/>
  <c r="C147" i="15" l="1"/>
  <c r="B147" i="15"/>
  <c r="H148" i="15"/>
  <c r="C148" i="15" l="1"/>
  <c r="B148" i="15"/>
  <c r="H149" i="15"/>
  <c r="C149" i="15" l="1"/>
  <c r="B149" i="15"/>
  <c r="H150" i="15"/>
  <c r="H151" i="15" l="1"/>
  <c r="C150" i="15"/>
  <c r="B150" i="15"/>
  <c r="H152" i="15" l="1"/>
  <c r="C151" i="15"/>
  <c r="B151" i="15"/>
  <c r="C152" i="15" l="1"/>
  <c r="B152" i="15"/>
  <c r="G30" i="11" l="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I959" i="4" l="1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F70" i="1" l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AE69" i="1" l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AD919" i="4" l="1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AI928" i="4" l="1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A48" i="14" l="1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AE48" i="1" l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F26" i="1" l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AI288" i="4" l="1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G21" i="14" l="1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I222" i="4" l="1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" i="15" l="1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H6" i="15" l="1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7" i="15" l="1"/>
  <c r="B6" i="15"/>
  <c r="C6" i="15"/>
  <c r="F7" i="1"/>
  <c r="AB7" i="1"/>
  <c r="AG7" i="1"/>
  <c r="AH7" i="1"/>
  <c r="H8" i="15" l="1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9" i="15" l="1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10" i="15" l="1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B10" i="15" l="1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P44" i="11"/>
  <c r="AB44" i="11" s="1"/>
  <c r="M44" i="11"/>
  <c r="AD44" i="11" s="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L107" i="6" l="1"/>
  <c r="L106" i="6"/>
  <c r="L105" i="6"/>
  <c r="L104" i="6"/>
  <c r="L100" i="6"/>
  <c r="L102" i="6"/>
  <c r="L101" i="6"/>
  <c r="L103" i="6"/>
  <c r="L99" i="6"/>
  <c r="L96" i="6"/>
  <c r="L98" i="6"/>
  <c r="L97" i="6"/>
  <c r="L95" i="6"/>
  <c r="L91" i="6"/>
  <c r="L93" i="6"/>
  <c r="L92" i="6"/>
  <c r="L94" i="6"/>
  <c r="M106" i="6"/>
  <c r="M107" i="6"/>
  <c r="M105" i="6"/>
  <c r="M103" i="6"/>
  <c r="M101" i="6"/>
  <c r="M104" i="6"/>
  <c r="M100" i="6"/>
  <c r="M102" i="6"/>
  <c r="M98" i="6"/>
  <c r="M99" i="6"/>
  <c r="M96" i="6"/>
  <c r="M97" i="6"/>
  <c r="M94" i="6"/>
  <c r="M95" i="6"/>
  <c r="M91" i="6"/>
  <c r="M93" i="6"/>
  <c r="M92" i="6"/>
  <c r="N106" i="6"/>
  <c r="N107" i="6"/>
  <c r="N105" i="6"/>
  <c r="N103" i="6"/>
  <c r="N104" i="6"/>
  <c r="N100" i="6"/>
  <c r="N101" i="6"/>
  <c r="N102" i="6"/>
  <c r="N98" i="6"/>
  <c r="N99" i="6"/>
  <c r="N97" i="6"/>
  <c r="N96" i="6"/>
  <c r="N92" i="6"/>
  <c r="N94" i="6"/>
  <c r="N95" i="6"/>
  <c r="N91" i="6"/>
  <c r="N93" i="6"/>
  <c r="O106" i="6"/>
  <c r="O107" i="6"/>
  <c r="O105" i="6"/>
  <c r="O102" i="6"/>
  <c r="O103" i="6"/>
  <c r="O104" i="6"/>
  <c r="O100" i="6"/>
  <c r="O101" i="6"/>
  <c r="O98" i="6"/>
  <c r="O96" i="6"/>
  <c r="O99" i="6"/>
  <c r="O97" i="6"/>
  <c r="O93" i="6"/>
  <c r="O92" i="6"/>
  <c r="O94" i="6"/>
  <c r="O95" i="6"/>
  <c r="O91" i="6"/>
  <c r="J106" i="6"/>
  <c r="J107" i="6"/>
  <c r="J105" i="6"/>
  <c r="J100" i="6"/>
  <c r="J101" i="6"/>
  <c r="J103" i="6"/>
  <c r="J102" i="6"/>
  <c r="J104" i="6"/>
  <c r="J97" i="6"/>
  <c r="J98" i="6"/>
  <c r="J96" i="6"/>
  <c r="J99" i="6"/>
  <c r="J94" i="6"/>
  <c r="J93" i="6"/>
  <c r="J92" i="6"/>
  <c r="J95" i="6"/>
  <c r="J91" i="6"/>
  <c r="K106" i="6"/>
  <c r="K107" i="6"/>
  <c r="K105" i="6"/>
  <c r="K104" i="6"/>
  <c r="K100" i="6"/>
  <c r="K101" i="6"/>
  <c r="K102" i="6"/>
  <c r="K103" i="6"/>
  <c r="K97" i="6"/>
  <c r="K96" i="6"/>
  <c r="K98" i="6"/>
  <c r="K99" i="6"/>
  <c r="K91" i="6"/>
  <c r="K92" i="6"/>
  <c r="K93" i="6"/>
  <c r="K94" i="6"/>
  <c r="K95" i="6"/>
  <c r="N90" i="6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26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Q96" i="6" l="1"/>
  <c r="T95" i="7" s="1"/>
  <c r="P96" i="6"/>
  <c r="P95" i="7" s="1"/>
  <c r="P105" i="6"/>
  <c r="J104" i="7" s="1"/>
  <c r="Q105" i="6"/>
  <c r="R104" i="7" s="1"/>
  <c r="P99" i="6"/>
  <c r="J98" i="7" s="1"/>
  <c r="Q99" i="6"/>
  <c r="P98" i="6"/>
  <c r="J97" i="7" s="1"/>
  <c r="Q98" i="6"/>
  <c r="R97" i="7" s="1"/>
  <c r="Q107" i="6"/>
  <c r="S106" i="7" s="1"/>
  <c r="P107" i="6"/>
  <c r="P106" i="7" s="1"/>
  <c r="U98" i="7"/>
  <c r="P91" i="6"/>
  <c r="P90" i="7" s="1"/>
  <c r="Q91" i="6"/>
  <c r="S90" i="7" s="1"/>
  <c r="P97" i="6"/>
  <c r="J96" i="7" s="1"/>
  <c r="Q97" i="6"/>
  <c r="R96" i="7" s="1"/>
  <c r="Q106" i="6"/>
  <c r="U105" i="7" s="1"/>
  <c r="N104" i="7"/>
  <c r="P95" i="6"/>
  <c r="M94" i="7" s="1"/>
  <c r="Q95" i="6"/>
  <c r="T94" i="7" s="1"/>
  <c r="Q104" i="6"/>
  <c r="U103" i="7" s="1"/>
  <c r="P104" i="6"/>
  <c r="N103" i="7" s="1"/>
  <c r="T98" i="7"/>
  <c r="S95" i="7"/>
  <c r="M95" i="7"/>
  <c r="M104" i="7"/>
  <c r="R103" i="7"/>
  <c r="K104" i="7"/>
  <c r="Q92" i="6"/>
  <c r="R91" i="7" s="1"/>
  <c r="P92" i="6"/>
  <c r="P91" i="7" s="1"/>
  <c r="Q102" i="6"/>
  <c r="S101" i="7" s="1"/>
  <c r="P102" i="6"/>
  <c r="P101" i="7" s="1"/>
  <c r="U94" i="7"/>
  <c r="N97" i="7"/>
  <c r="T97" i="7"/>
  <c r="P106" i="6"/>
  <c r="P105" i="7" s="1"/>
  <c r="T105" i="7"/>
  <c r="M98" i="7"/>
  <c r="S98" i="7"/>
  <c r="L104" i="7"/>
  <c r="K97" i="7"/>
  <c r="Q100" i="6"/>
  <c r="S99" i="7" s="1"/>
  <c r="P100" i="6"/>
  <c r="P99" i="7" s="1"/>
  <c r="P93" i="6"/>
  <c r="P92" i="7" s="1"/>
  <c r="Q93" i="6"/>
  <c r="T92" i="7" s="1"/>
  <c r="Q103" i="6"/>
  <c r="R102" i="7" s="1"/>
  <c r="P103" i="6"/>
  <c r="L102" i="7" s="1"/>
  <c r="T90" i="7"/>
  <c r="S91" i="7"/>
  <c r="M97" i="7"/>
  <c r="S97" i="7"/>
  <c r="L95" i="7"/>
  <c r="R105" i="7"/>
  <c r="Q94" i="6"/>
  <c r="R93" i="7" s="1"/>
  <c r="P94" i="6"/>
  <c r="N93" i="7" s="1"/>
  <c r="Q101" i="6"/>
  <c r="U100" i="7" s="1"/>
  <c r="P101" i="6"/>
  <c r="P100" i="7" s="1"/>
  <c r="U91" i="7"/>
  <c r="O103" i="7"/>
  <c r="M92" i="7"/>
  <c r="L98" i="7"/>
  <c r="R98" i="7"/>
  <c r="P78" i="6"/>
  <c r="P77" i="7" s="1"/>
  <c r="Q78" i="6"/>
  <c r="R77" i="7" s="1"/>
  <c r="P73" i="6"/>
  <c r="K72" i="7" s="1"/>
  <c r="Q73" i="6"/>
  <c r="R72" i="7" s="1"/>
  <c r="P87" i="6"/>
  <c r="J86" i="7" s="1"/>
  <c r="Q87" i="6"/>
  <c r="S86" i="7" s="1"/>
  <c r="P74" i="6"/>
  <c r="J73" i="7" s="1"/>
  <c r="Q74" i="6"/>
  <c r="U73" i="7" s="1"/>
  <c r="P80" i="6"/>
  <c r="P79" i="7" s="1"/>
  <c r="Q80" i="6"/>
  <c r="Q85" i="6"/>
  <c r="S84" i="7" s="1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P72" i="6"/>
  <c r="Q72" i="6"/>
  <c r="S71" i="7" s="1"/>
  <c r="Q82" i="6"/>
  <c r="S81" i="7" s="1"/>
  <c r="P82" i="6"/>
  <c r="J81" i="7" s="1"/>
  <c r="P83" i="6"/>
  <c r="J82" i="7" s="1"/>
  <c r="Q83" i="6"/>
  <c r="U82" i="7" s="1"/>
  <c r="P89" i="6"/>
  <c r="P88" i="7" s="1"/>
  <c r="Q89" i="6"/>
  <c r="T88" i="7" s="1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P71" i="6"/>
  <c r="L70" i="7" s="1"/>
  <c r="Q71" i="6"/>
  <c r="U70" i="7" s="1"/>
  <c r="P84" i="6"/>
  <c r="J83" i="7" s="1"/>
  <c r="Q84" i="6"/>
  <c r="T83" i="7" s="1"/>
  <c r="Q70" i="6"/>
  <c r="R69" i="7" s="1"/>
  <c r="P70" i="6"/>
  <c r="P69" i="7" s="1"/>
  <c r="Q86" i="6"/>
  <c r="T85" i="7" s="1"/>
  <c r="P86" i="6"/>
  <c r="P85" i="7" s="1"/>
  <c r="T77" i="7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O101" i="7" l="1"/>
  <c r="M91" i="7"/>
  <c r="M106" i="7"/>
  <c r="T106" i="7"/>
  <c r="S92" i="7"/>
  <c r="J100" i="7"/>
  <c r="U93" i="7"/>
  <c r="J99" i="7"/>
  <c r="O94" i="7"/>
  <c r="U104" i="7"/>
  <c r="T100" i="7"/>
  <c r="Q106" i="7"/>
  <c r="N106" i="7"/>
  <c r="N101" i="7"/>
  <c r="J91" i="7"/>
  <c r="R99" i="7"/>
  <c r="O106" i="7"/>
  <c r="K99" i="7"/>
  <c r="R101" i="7"/>
  <c r="U106" i="7"/>
  <c r="O91" i="7"/>
  <c r="N90" i="7"/>
  <c r="L97" i="7"/>
  <c r="N92" i="7"/>
  <c r="N98" i="7"/>
  <c r="T96" i="7"/>
  <c r="N102" i="7"/>
  <c r="L106" i="7"/>
  <c r="J106" i="7"/>
  <c r="M101" i="7"/>
  <c r="S105" i="7"/>
  <c r="O99" i="7"/>
  <c r="M90" i="7"/>
  <c r="K91" i="7"/>
  <c r="O95" i="7"/>
  <c r="N95" i="7"/>
  <c r="R106" i="7"/>
  <c r="K106" i="7"/>
  <c r="T93" i="7"/>
  <c r="Q93" i="7"/>
  <c r="U99" i="7"/>
  <c r="K90" i="7"/>
  <c r="J101" i="7"/>
  <c r="Q103" i="7"/>
  <c r="L94" i="7"/>
  <c r="N96" i="7"/>
  <c r="J90" i="7"/>
  <c r="L101" i="7"/>
  <c r="T102" i="7"/>
  <c r="S103" i="7"/>
  <c r="U96" i="7"/>
  <c r="K95" i="7"/>
  <c r="K103" i="7"/>
  <c r="M99" i="7"/>
  <c r="J94" i="7"/>
  <c r="M102" i="7"/>
  <c r="U95" i="7"/>
  <c r="Q90" i="7"/>
  <c r="R90" i="7"/>
  <c r="U97" i="7"/>
  <c r="Q97" i="7"/>
  <c r="Q98" i="7"/>
  <c r="O96" i="7"/>
  <c r="L105" i="7"/>
  <c r="J102" i="7"/>
  <c r="P102" i="7"/>
  <c r="Q101" i="7"/>
  <c r="O105" i="7"/>
  <c r="R94" i="7"/>
  <c r="Q94" i="7"/>
  <c r="S102" i="7"/>
  <c r="L90" i="7"/>
  <c r="O97" i="7"/>
  <c r="P97" i="7"/>
  <c r="K98" i="7"/>
  <c r="P98" i="7"/>
  <c r="S94" i="7"/>
  <c r="L93" i="7"/>
  <c r="Q102" i="7"/>
  <c r="N94" i="7"/>
  <c r="P94" i="7"/>
  <c r="S96" i="7"/>
  <c r="Q105" i="7"/>
  <c r="K102" i="7"/>
  <c r="S100" i="7"/>
  <c r="K105" i="7"/>
  <c r="R100" i="7"/>
  <c r="S104" i="7"/>
  <c r="Q104" i="7"/>
  <c r="O93" i="7"/>
  <c r="P93" i="7"/>
  <c r="L103" i="7"/>
  <c r="P103" i="7"/>
  <c r="T101" i="7"/>
  <c r="J92" i="7"/>
  <c r="O90" i="7"/>
  <c r="K101" i="7"/>
  <c r="M96" i="7"/>
  <c r="J105" i="7"/>
  <c r="K93" i="7"/>
  <c r="M100" i="7"/>
  <c r="K96" i="7"/>
  <c r="L100" i="7"/>
  <c r="T103" i="7"/>
  <c r="O104" i="7"/>
  <c r="P104" i="7"/>
  <c r="U102" i="7"/>
  <c r="M103" i="7"/>
  <c r="N100" i="7"/>
  <c r="Q100" i="7"/>
  <c r="U92" i="7"/>
  <c r="Q92" i="7"/>
  <c r="Q99" i="7"/>
  <c r="N105" i="7"/>
  <c r="O100" i="7"/>
  <c r="T91" i="7"/>
  <c r="Q91" i="7"/>
  <c r="U90" i="7"/>
  <c r="K92" i="7"/>
  <c r="T104" i="7"/>
  <c r="T99" i="7"/>
  <c r="M93" i="7"/>
  <c r="O98" i="7"/>
  <c r="K94" i="7"/>
  <c r="R92" i="7"/>
  <c r="N91" i="7"/>
  <c r="J95" i="7"/>
  <c r="O102" i="7"/>
  <c r="L96" i="7"/>
  <c r="P96" i="7"/>
  <c r="R95" i="7"/>
  <c r="Q95" i="7"/>
  <c r="J93" i="7"/>
  <c r="M105" i="7"/>
  <c r="K100" i="7"/>
  <c r="J103" i="7"/>
  <c r="L99" i="7"/>
  <c r="Q96" i="7"/>
  <c r="N99" i="7"/>
  <c r="S93" i="7"/>
  <c r="L91" i="7"/>
  <c r="L92" i="7"/>
  <c r="U101" i="7"/>
  <c r="O92" i="7"/>
  <c r="L82" i="7"/>
  <c r="T86" i="7"/>
  <c r="U86" i="7"/>
  <c r="U75" i="7"/>
  <c r="T84" i="7"/>
  <c r="R84" i="7"/>
  <c r="O73" i="7"/>
  <c r="K73" i="7"/>
  <c r="M73" i="7"/>
  <c r="O72" i="7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94" i="4" l="1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AB70" i="18"/>
  <c r="K70" i="18"/>
  <c r="G70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G71" i="18" l="1"/>
  <c r="L71" i="18"/>
  <c r="J31" i="1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110" i="1" l="1"/>
  <c r="B110" i="1"/>
  <c r="I1477" i="4"/>
  <c r="I1482" i="4"/>
  <c r="J1473" i="4"/>
  <c r="K1473" i="4" s="1"/>
  <c r="J1480" i="4"/>
  <c r="X1475" i="4"/>
  <c r="I1473" i="4"/>
  <c r="I1481" i="4"/>
  <c r="I1484" i="4"/>
  <c r="J1474" i="4"/>
  <c r="J1477" i="4"/>
  <c r="J1481" i="4"/>
  <c r="J1482" i="4"/>
  <c r="K1482" i="4" s="1"/>
  <c r="I1480" i="4"/>
  <c r="W1475" i="4"/>
  <c r="J1475" i="4"/>
  <c r="I1476" i="4"/>
  <c r="J1484" i="4"/>
  <c r="J1476" i="4"/>
  <c r="I1483" i="4"/>
  <c r="I1474" i="4"/>
  <c r="J1478" i="4"/>
  <c r="J1479" i="4"/>
  <c r="W1485" i="4"/>
  <c r="I1478" i="4"/>
  <c r="I1485" i="4"/>
  <c r="X1485" i="4"/>
  <c r="I1475" i="4"/>
  <c r="J1483" i="4"/>
  <c r="I1479" i="4"/>
  <c r="J1485" i="4"/>
  <c r="A109" i="1"/>
  <c r="B109" i="1"/>
  <c r="I1465" i="4"/>
  <c r="I1462" i="4"/>
  <c r="J1467" i="4"/>
  <c r="J1472" i="4"/>
  <c r="W1472" i="4"/>
  <c r="J1464" i="4"/>
  <c r="I1470" i="4"/>
  <c r="I1472" i="4"/>
  <c r="W1462" i="4"/>
  <c r="J1461" i="4"/>
  <c r="J1465" i="4"/>
  <c r="I1464" i="4"/>
  <c r="I1461" i="4"/>
  <c r="J1469" i="4"/>
  <c r="I1467" i="4"/>
  <c r="J1471" i="4"/>
  <c r="J1462" i="4"/>
  <c r="J1463" i="4"/>
  <c r="X1472" i="4"/>
  <c r="I1468" i="4"/>
  <c r="I1471" i="4"/>
  <c r="I1466" i="4"/>
  <c r="I1469" i="4"/>
  <c r="I1463" i="4"/>
  <c r="J1460" i="4"/>
  <c r="J1470" i="4"/>
  <c r="I1460" i="4"/>
  <c r="J1466" i="4"/>
  <c r="J1468" i="4"/>
  <c r="X1462" i="4"/>
  <c r="A108" i="1"/>
  <c r="B108" i="1"/>
  <c r="X1459" i="4"/>
  <c r="J1458" i="4"/>
  <c r="J1456" i="4"/>
  <c r="I1450" i="4"/>
  <c r="I1448" i="4"/>
  <c r="J1450" i="4"/>
  <c r="J1452" i="4"/>
  <c r="J1451" i="4"/>
  <c r="I1453" i="4"/>
  <c r="J1449" i="4"/>
  <c r="X1449" i="4"/>
  <c r="J1459" i="4"/>
  <c r="J1454" i="4"/>
  <c r="J1453" i="4"/>
  <c r="I1452" i="4"/>
  <c r="I1457" i="4"/>
  <c r="I1459" i="4"/>
  <c r="I1449" i="4"/>
  <c r="I1458" i="4"/>
  <c r="W1459" i="4"/>
  <c r="J1448" i="4"/>
  <c r="K1448" i="4" s="1"/>
  <c r="I1456" i="4"/>
  <c r="I1451" i="4"/>
  <c r="J1447" i="4"/>
  <c r="W1449" i="4"/>
  <c r="I1447" i="4"/>
  <c r="I1455" i="4"/>
  <c r="J1455" i="4"/>
  <c r="J1457" i="4"/>
  <c r="I1454" i="4"/>
  <c r="A107" i="1"/>
  <c r="B107" i="1"/>
  <c r="X1446" i="4"/>
  <c r="J1434" i="4"/>
  <c r="J1436" i="4"/>
  <c r="I1439" i="4"/>
  <c r="I1434" i="4"/>
  <c r="X1436" i="4"/>
  <c r="I1442" i="4"/>
  <c r="W1436" i="4"/>
  <c r="J1446" i="4"/>
  <c r="I1445" i="4"/>
  <c r="I1443" i="4"/>
  <c r="I1437" i="4"/>
  <c r="I1446" i="4"/>
  <c r="W1446" i="4"/>
  <c r="I1435" i="4"/>
  <c r="I1438" i="4"/>
  <c r="J1443" i="4"/>
  <c r="I1444" i="4"/>
  <c r="I1436" i="4"/>
  <c r="K1436" i="4" s="1"/>
  <c r="J1445" i="4"/>
  <c r="J1435" i="4"/>
  <c r="I1441" i="4"/>
  <c r="J1442" i="4"/>
  <c r="K1442" i="4" s="1"/>
  <c r="J1437" i="4"/>
  <c r="J1444" i="4"/>
  <c r="J1438" i="4"/>
  <c r="I1440" i="4"/>
  <c r="J1440" i="4"/>
  <c r="J1439" i="4"/>
  <c r="J1441" i="4"/>
  <c r="A106" i="1"/>
  <c r="B106" i="1"/>
  <c r="I1430" i="4"/>
  <c r="J1427" i="4"/>
  <c r="X1423" i="4"/>
  <c r="I1431" i="4"/>
  <c r="J1426" i="4"/>
  <c r="I1425" i="4"/>
  <c r="W1423" i="4"/>
  <c r="I1421" i="4"/>
  <c r="J1425" i="4"/>
  <c r="J1433" i="4"/>
  <c r="I1424" i="4"/>
  <c r="J1431" i="4"/>
  <c r="I1422" i="4"/>
  <c r="J1421" i="4"/>
  <c r="J1428" i="4"/>
  <c r="J1423" i="4"/>
  <c r="J1430" i="4"/>
  <c r="K1430" i="4" s="1"/>
  <c r="J1424" i="4"/>
  <c r="I1432" i="4"/>
  <c r="I1429" i="4"/>
  <c r="I1433" i="4"/>
  <c r="X1433" i="4"/>
  <c r="W1433" i="4"/>
  <c r="I1426" i="4"/>
  <c r="J1429" i="4"/>
  <c r="I1423" i="4"/>
  <c r="J1422" i="4"/>
  <c r="I1428" i="4"/>
  <c r="J1432" i="4"/>
  <c r="I1427" i="4"/>
  <c r="A105" i="1"/>
  <c r="B105" i="1"/>
  <c r="I1408" i="4"/>
  <c r="J1419" i="4"/>
  <c r="I1414" i="4"/>
  <c r="I1420" i="4"/>
  <c r="J1414" i="4"/>
  <c r="J1415" i="4"/>
  <c r="J1417" i="4"/>
  <c r="J1418" i="4"/>
  <c r="I1416" i="4"/>
  <c r="I1411" i="4"/>
  <c r="I1418" i="4"/>
  <c r="I1413" i="4"/>
  <c r="J1412" i="4"/>
  <c r="I1410" i="4"/>
  <c r="I1409" i="4"/>
  <c r="J1409" i="4"/>
  <c r="I1415" i="4"/>
  <c r="W1410" i="4"/>
  <c r="J1410" i="4"/>
  <c r="W1420" i="4"/>
  <c r="J1411" i="4"/>
  <c r="J1413" i="4"/>
  <c r="J1416" i="4"/>
  <c r="J1420" i="4"/>
  <c r="X1420" i="4"/>
  <c r="I1419" i="4"/>
  <c r="I1412" i="4"/>
  <c r="X1410" i="4"/>
  <c r="J1408" i="4"/>
  <c r="I1417" i="4"/>
  <c r="A104" i="1"/>
  <c r="B104" i="1"/>
  <c r="I1399" i="4"/>
  <c r="I1398" i="4"/>
  <c r="J1396" i="4"/>
  <c r="J1405" i="4"/>
  <c r="I1406" i="4"/>
  <c r="I1402" i="4"/>
  <c r="J1398" i="4"/>
  <c r="I1403" i="4"/>
  <c r="I1397" i="4"/>
  <c r="J1407" i="4"/>
  <c r="W1397" i="4"/>
  <c r="I1405" i="4"/>
  <c r="X1397" i="4"/>
  <c r="J1402" i="4"/>
  <c r="K1402" i="4" s="1"/>
  <c r="I1404" i="4"/>
  <c r="J1404" i="4"/>
  <c r="J1395" i="4"/>
  <c r="I1401" i="4"/>
  <c r="J1400" i="4"/>
  <c r="J1397" i="4"/>
  <c r="I1396" i="4"/>
  <c r="J1403" i="4"/>
  <c r="W1407" i="4"/>
  <c r="J1406" i="4"/>
  <c r="X1407" i="4"/>
  <c r="I1407" i="4"/>
  <c r="I1400" i="4"/>
  <c r="I1395" i="4"/>
  <c r="J1401" i="4"/>
  <c r="J1399" i="4"/>
  <c r="A103" i="1"/>
  <c r="B103" i="1"/>
  <c r="X1384" i="4"/>
  <c r="I1392" i="4"/>
  <c r="I1391" i="4"/>
  <c r="I1388" i="4"/>
  <c r="I1385" i="4"/>
  <c r="J1386" i="4"/>
  <c r="I1384" i="4"/>
  <c r="J1392" i="4"/>
  <c r="I1394" i="4"/>
  <c r="W1394" i="4"/>
  <c r="I1389" i="4"/>
  <c r="J1388" i="4"/>
  <c r="K1388" i="4" s="1"/>
  <c r="I1386" i="4"/>
  <c r="I1383" i="4"/>
  <c r="J1383" i="4"/>
  <c r="I1390" i="4"/>
  <c r="J1391" i="4"/>
  <c r="J1390" i="4"/>
  <c r="J1387" i="4"/>
  <c r="X1394" i="4"/>
  <c r="I1387" i="4"/>
  <c r="W1384" i="4"/>
  <c r="J1394" i="4"/>
  <c r="J1382" i="4"/>
  <c r="I1393" i="4"/>
  <c r="J1384" i="4"/>
  <c r="I1382" i="4"/>
  <c r="J1385" i="4"/>
  <c r="J1393" i="4"/>
  <c r="J1389" i="4"/>
  <c r="A102" i="1"/>
  <c r="B102" i="1"/>
  <c r="J1370" i="4"/>
  <c r="J1374" i="4"/>
  <c r="J1379" i="4"/>
  <c r="J1380" i="4"/>
  <c r="I1378" i="4"/>
  <c r="J1377" i="4"/>
  <c r="J1373" i="4"/>
  <c r="W1371" i="4"/>
  <c r="J1375" i="4"/>
  <c r="I1371" i="4"/>
  <c r="I1374" i="4"/>
  <c r="I1375" i="4"/>
  <c r="J1371" i="4"/>
  <c r="I1372" i="4"/>
  <c r="J1369" i="4"/>
  <c r="J1376" i="4"/>
  <c r="I1379" i="4"/>
  <c r="X1381" i="4"/>
  <c r="I1369" i="4"/>
  <c r="J1378" i="4"/>
  <c r="I1376" i="4"/>
  <c r="I1380" i="4"/>
  <c r="I1377" i="4"/>
  <c r="J1372" i="4"/>
  <c r="I1381" i="4"/>
  <c r="J1381" i="4"/>
  <c r="I1373" i="4"/>
  <c r="X1371" i="4"/>
  <c r="W1381" i="4"/>
  <c r="I1370" i="4"/>
  <c r="A101" i="1"/>
  <c r="B101" i="1"/>
  <c r="I1363" i="4"/>
  <c r="I1368" i="4"/>
  <c r="W1358" i="4"/>
  <c r="I1356" i="4"/>
  <c r="J1357" i="4"/>
  <c r="J1365" i="4"/>
  <c r="I1364" i="4"/>
  <c r="I1362" i="4"/>
  <c r="I1365" i="4"/>
  <c r="J1361" i="4"/>
  <c r="I1361" i="4"/>
  <c r="J1363" i="4"/>
  <c r="J1356" i="4"/>
  <c r="I1360" i="4"/>
  <c r="I1358" i="4"/>
  <c r="J1359" i="4"/>
  <c r="J1368" i="4"/>
  <c r="W1368" i="4"/>
  <c r="X1358" i="4"/>
  <c r="AA1358" i="4" s="1"/>
  <c r="J1362" i="4"/>
  <c r="J1364" i="4"/>
  <c r="J1360" i="4"/>
  <c r="J1367" i="4"/>
  <c r="J1358" i="4"/>
  <c r="I1366" i="4"/>
  <c r="X1368" i="4"/>
  <c r="AA1368" i="4" s="1"/>
  <c r="I1367" i="4"/>
  <c r="I1359" i="4"/>
  <c r="J1366" i="4"/>
  <c r="I1357" i="4"/>
  <c r="A100" i="1"/>
  <c r="B100" i="1"/>
  <c r="X1344" i="4"/>
  <c r="X1351" i="4"/>
  <c r="W1348" i="4"/>
  <c r="W1351" i="4"/>
  <c r="X1350" i="4"/>
  <c r="X1355" i="4"/>
  <c r="W1345" i="4"/>
  <c r="W1344" i="4"/>
  <c r="I1345" i="4"/>
  <c r="I1346" i="4"/>
  <c r="I1347" i="4"/>
  <c r="J1347" i="4"/>
  <c r="J1351" i="4"/>
  <c r="W1349" i="4"/>
  <c r="I1349" i="4"/>
  <c r="J1352" i="4"/>
  <c r="J1349" i="4"/>
  <c r="X1347" i="4"/>
  <c r="X1345" i="4"/>
  <c r="J1353" i="4"/>
  <c r="J1344" i="4"/>
  <c r="I1348" i="4"/>
  <c r="I1354" i="4"/>
  <c r="J1350" i="4"/>
  <c r="X1346" i="4"/>
  <c r="I1351" i="4"/>
  <c r="J1345" i="4"/>
  <c r="X1348" i="4"/>
  <c r="I1343" i="4"/>
  <c r="W1343" i="4"/>
  <c r="W1355" i="4"/>
  <c r="I1344" i="4"/>
  <c r="X1349" i="4"/>
  <c r="I1353" i="4"/>
  <c r="I1355" i="4"/>
  <c r="W1350" i="4"/>
  <c r="W1353" i="4"/>
  <c r="W1346" i="4"/>
  <c r="X1354" i="4"/>
  <c r="X1352" i="4"/>
  <c r="I1350" i="4"/>
  <c r="W1352" i="4"/>
  <c r="J1355" i="4"/>
  <c r="K1355" i="4" s="1"/>
  <c r="X1353" i="4"/>
  <c r="W1347" i="4"/>
  <c r="J1346" i="4"/>
  <c r="J1354" i="4"/>
  <c r="K1354" i="4" s="1"/>
  <c r="I1352" i="4"/>
  <c r="J1343" i="4"/>
  <c r="X1343" i="4"/>
  <c r="W1354" i="4"/>
  <c r="J1348" i="4"/>
  <c r="A99" i="1"/>
  <c r="B99" i="1"/>
  <c r="J1335" i="4"/>
  <c r="W1342" i="4"/>
  <c r="I1336" i="4"/>
  <c r="J1342" i="4"/>
  <c r="J1333" i="4"/>
  <c r="J1336" i="4"/>
  <c r="I1339" i="4"/>
  <c r="J1330" i="4"/>
  <c r="I1335" i="4"/>
  <c r="I1341" i="4"/>
  <c r="J1340" i="4"/>
  <c r="I1340" i="4"/>
  <c r="I1332" i="4"/>
  <c r="J1334" i="4"/>
  <c r="J1337" i="4"/>
  <c r="I1330" i="4"/>
  <c r="X1342" i="4"/>
  <c r="W1332" i="4"/>
  <c r="I1337" i="4"/>
  <c r="I1338" i="4"/>
  <c r="I1331" i="4"/>
  <c r="J1339" i="4"/>
  <c r="J1338" i="4"/>
  <c r="J1331" i="4"/>
  <c r="I1334" i="4"/>
  <c r="I43" i="11"/>
  <c r="I1342" i="4"/>
  <c r="J43" i="11"/>
  <c r="X1332" i="4"/>
  <c r="I1333" i="4"/>
  <c r="J1332" i="4"/>
  <c r="J1341" i="4"/>
  <c r="A98" i="1"/>
  <c r="B98" i="1"/>
  <c r="W1319" i="4"/>
  <c r="X1329" i="4"/>
  <c r="I1318" i="4"/>
  <c r="I1323" i="4"/>
  <c r="J1324" i="4"/>
  <c r="I1317" i="4"/>
  <c r="I1329" i="4"/>
  <c r="J1320" i="4"/>
  <c r="J1321" i="4"/>
  <c r="J1328" i="4"/>
  <c r="J1327" i="4"/>
  <c r="I1324" i="4"/>
  <c r="W1329" i="4"/>
  <c r="I1325" i="4"/>
  <c r="J1329" i="4"/>
  <c r="K1329" i="4" s="1"/>
  <c r="X1319" i="4"/>
  <c r="I1321" i="4"/>
  <c r="I1328" i="4"/>
  <c r="J1325" i="4"/>
  <c r="I1327" i="4"/>
  <c r="J1317" i="4"/>
  <c r="J1319" i="4"/>
  <c r="I1326" i="4"/>
  <c r="I1322" i="4"/>
  <c r="I1320" i="4"/>
  <c r="J1326" i="4"/>
  <c r="J1318" i="4"/>
  <c r="K1318" i="4" s="1"/>
  <c r="I1319" i="4"/>
  <c r="J1322" i="4"/>
  <c r="J1323" i="4"/>
  <c r="A97" i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J44" i="11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K341" i="3" s="1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K312" i="3" s="1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I44" i="11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K1480" i="4" l="1"/>
  <c r="K1475" i="4"/>
  <c r="K1484" i="4"/>
  <c r="K1479" i="4"/>
  <c r="AA1475" i="4"/>
  <c r="K1485" i="4"/>
  <c r="AB1475" i="4"/>
  <c r="AD1475" i="4"/>
  <c r="AI1475" i="4" s="1"/>
  <c r="AC1475" i="4"/>
  <c r="K1483" i="4"/>
  <c r="K1474" i="4"/>
  <c r="AA1485" i="4"/>
  <c r="K1477" i="4"/>
  <c r="K1478" i="4"/>
  <c r="K1476" i="4"/>
  <c r="AD1485" i="4"/>
  <c r="AI1485" i="4" s="1"/>
  <c r="AC1485" i="4"/>
  <c r="AB1485" i="4"/>
  <c r="K1481" i="4"/>
  <c r="K1466" i="4"/>
  <c r="K1464" i="4"/>
  <c r="K1472" i="4"/>
  <c r="K1453" i="4"/>
  <c r="AA1462" i="4"/>
  <c r="K1465" i="4"/>
  <c r="K1470" i="4"/>
  <c r="K1454" i="4"/>
  <c r="K189" i="11"/>
  <c r="AA1472" i="4"/>
  <c r="K1469" i="4"/>
  <c r="AD1472" i="4"/>
  <c r="AI1472" i="4" s="1"/>
  <c r="AC1472" i="4"/>
  <c r="AB1472" i="4"/>
  <c r="K1468" i="4"/>
  <c r="K1467" i="4"/>
  <c r="K1461" i="4"/>
  <c r="K1462" i="4"/>
  <c r="K1460" i="4"/>
  <c r="AB1462" i="4"/>
  <c r="AD1462" i="4"/>
  <c r="AI1462" i="4" s="1"/>
  <c r="AC1462" i="4"/>
  <c r="K1463" i="4"/>
  <c r="K1471" i="4"/>
  <c r="K402" i="3"/>
  <c r="K1450" i="4"/>
  <c r="AA1436" i="4"/>
  <c r="K1457" i="4"/>
  <c r="K1455" i="4"/>
  <c r="AD1459" i="4"/>
  <c r="AI1459" i="4" s="1"/>
  <c r="AB1459" i="4"/>
  <c r="AC1459" i="4"/>
  <c r="K1459" i="4"/>
  <c r="AA1449" i="4"/>
  <c r="K1456" i="4"/>
  <c r="K1449" i="4"/>
  <c r="K1458" i="4"/>
  <c r="AB1449" i="4"/>
  <c r="AC1449" i="4"/>
  <c r="AD1449" i="4"/>
  <c r="AI1449" i="4" s="1"/>
  <c r="AA1459" i="4"/>
  <c r="K1447" i="4"/>
  <c r="K1451" i="4"/>
  <c r="K1452" i="4"/>
  <c r="K1431" i="4"/>
  <c r="AA1264" i="4"/>
  <c r="K1360" i="4"/>
  <c r="K1445" i="4"/>
  <c r="K1444" i="4"/>
  <c r="K1429" i="4"/>
  <c r="K1420" i="4"/>
  <c r="K1443" i="4"/>
  <c r="K1440" i="4"/>
  <c r="K1434" i="4"/>
  <c r="K1446" i="4"/>
  <c r="K1441" i="4"/>
  <c r="AD1446" i="4"/>
  <c r="AI1446" i="4" s="1"/>
  <c r="AB1446" i="4"/>
  <c r="AC1446" i="4"/>
  <c r="K1432" i="4"/>
  <c r="K1437" i="4"/>
  <c r="K1439" i="4"/>
  <c r="K1438" i="4"/>
  <c r="AA1446" i="4"/>
  <c r="AB1436" i="4"/>
  <c r="AC1436" i="4"/>
  <c r="AD1436" i="4"/>
  <c r="AI1436" i="4" s="1"/>
  <c r="K1435" i="4"/>
  <c r="K1424" i="4"/>
  <c r="K1423" i="4"/>
  <c r="K1433" i="4"/>
  <c r="K1427" i="4"/>
  <c r="AA1433" i="4"/>
  <c r="K1421" i="4"/>
  <c r="K1425" i="4"/>
  <c r="K1401" i="4"/>
  <c r="K1411" i="4"/>
  <c r="K1422" i="4"/>
  <c r="K1426" i="4"/>
  <c r="K1428" i="4"/>
  <c r="AA1423" i="4"/>
  <c r="AD1433" i="4"/>
  <c r="AI1433" i="4" s="1"/>
  <c r="AB1433" i="4"/>
  <c r="AC1433" i="4"/>
  <c r="AB1423" i="4"/>
  <c r="AD1423" i="4"/>
  <c r="AI1423" i="4" s="1"/>
  <c r="AC1423" i="4"/>
  <c r="K1416" i="4"/>
  <c r="K1413" i="4"/>
  <c r="AA1410" i="4"/>
  <c r="AA1420" i="4"/>
  <c r="K1415" i="4"/>
  <c r="K1409" i="4"/>
  <c r="K1412" i="4"/>
  <c r="K1414" i="4"/>
  <c r="AD1420" i="4"/>
  <c r="AI1420" i="4" s="1"/>
  <c r="AC1420" i="4"/>
  <c r="AB1420" i="4"/>
  <c r="K1410" i="4"/>
  <c r="AB1410" i="4"/>
  <c r="AC1410" i="4"/>
  <c r="AD1410" i="4"/>
  <c r="AI1410" i="4" s="1"/>
  <c r="K1419" i="4"/>
  <c r="K1408" i="4"/>
  <c r="K1418" i="4"/>
  <c r="K1417" i="4"/>
  <c r="K1399" i="4"/>
  <c r="K1385" i="4"/>
  <c r="K1397" i="4"/>
  <c r="K1406" i="4"/>
  <c r="K1404" i="4"/>
  <c r="K1396" i="4"/>
  <c r="K1398" i="4"/>
  <c r="K1403" i="4"/>
  <c r="AA1397" i="4"/>
  <c r="K1405" i="4"/>
  <c r="K1400" i="4"/>
  <c r="AD1397" i="4"/>
  <c r="AI1397" i="4" s="1"/>
  <c r="AB1397" i="4"/>
  <c r="AC1397" i="4"/>
  <c r="K1407" i="4"/>
  <c r="AA1407" i="4"/>
  <c r="K1395" i="4"/>
  <c r="AD1407" i="4"/>
  <c r="AI1407" i="4" s="1"/>
  <c r="AB1407" i="4"/>
  <c r="AC1407" i="4"/>
  <c r="K273" i="11"/>
  <c r="AA1394" i="4"/>
  <c r="K1389" i="4"/>
  <c r="K1394" i="4"/>
  <c r="K1386" i="4"/>
  <c r="K1387" i="4"/>
  <c r="K1392" i="4"/>
  <c r="AB1384" i="4"/>
  <c r="AD1384" i="4"/>
  <c r="AI1384" i="4" s="1"/>
  <c r="AC1384" i="4"/>
  <c r="K1393" i="4"/>
  <c r="K1384" i="4"/>
  <c r="K1390" i="4"/>
  <c r="AD1394" i="4"/>
  <c r="AI1394" i="4" s="1"/>
  <c r="AB1394" i="4"/>
  <c r="AC1394" i="4"/>
  <c r="K1391" i="4"/>
  <c r="AA1384" i="4"/>
  <c r="K1382" i="4"/>
  <c r="K1383" i="4"/>
  <c r="AA1173" i="4"/>
  <c r="AA1371" i="4"/>
  <c r="K1378" i="4"/>
  <c r="K1381" i="4"/>
  <c r="K1372" i="4"/>
  <c r="K1377" i="4"/>
  <c r="AA1381" i="4"/>
  <c r="K1374" i="4"/>
  <c r="K1369" i="4"/>
  <c r="K1373" i="4"/>
  <c r="K1356" i="4"/>
  <c r="AD1381" i="4"/>
  <c r="AI1381" i="4" s="1"/>
  <c r="AB1381" i="4"/>
  <c r="AC1381" i="4"/>
  <c r="K1371" i="4"/>
  <c r="K1380" i="4"/>
  <c r="K1379" i="4"/>
  <c r="K1375" i="4"/>
  <c r="K1370" i="4"/>
  <c r="K1376" i="4"/>
  <c r="AB1371" i="4"/>
  <c r="AC1371" i="4"/>
  <c r="AD1371" i="4"/>
  <c r="AI1371" i="4" s="1"/>
  <c r="K1362" i="4"/>
  <c r="K1368" i="4"/>
  <c r="K1366" i="4"/>
  <c r="K1364" i="4"/>
  <c r="K1363" i="4"/>
  <c r="K1358" i="4"/>
  <c r="K1365" i="4"/>
  <c r="K1357" i="4"/>
  <c r="AB1358" i="4"/>
  <c r="AD1358" i="4"/>
  <c r="AI1358" i="4" s="1"/>
  <c r="AC1358" i="4"/>
  <c r="AD1368" i="4"/>
  <c r="AI1368" i="4" s="1"/>
  <c r="AC1368" i="4"/>
  <c r="AB1368" i="4"/>
  <c r="K1361" i="4"/>
  <c r="K1359" i="4"/>
  <c r="K1367" i="4"/>
  <c r="K1346" i="4"/>
  <c r="AA1344" i="4"/>
  <c r="K1345" i="4"/>
  <c r="AA1345" i="4"/>
  <c r="K1344" i="4"/>
  <c r="K1348" i="4"/>
  <c r="AA1348" i="4"/>
  <c r="AA1343" i="4"/>
  <c r="AA1349" i="4"/>
  <c r="K1349" i="4"/>
  <c r="AA1353" i="4"/>
  <c r="AD1346" i="4"/>
  <c r="AI1346" i="4" s="1"/>
  <c r="AC1346" i="4"/>
  <c r="AB1346" i="4"/>
  <c r="AB1343" i="4"/>
  <c r="AC1343" i="4"/>
  <c r="AD1343" i="4"/>
  <c r="AI1343" i="4" s="1"/>
  <c r="AC1349" i="4"/>
  <c r="AB1349" i="4"/>
  <c r="AD1349" i="4"/>
  <c r="AI1349" i="4" s="1"/>
  <c r="AA1355" i="4"/>
  <c r="AB1347" i="4"/>
  <c r="AC1347" i="4"/>
  <c r="AD1347" i="4"/>
  <c r="AI1347" i="4" s="1"/>
  <c r="AC1353" i="4"/>
  <c r="AD1353" i="4"/>
  <c r="AI1353" i="4" s="1"/>
  <c r="AB1353" i="4"/>
  <c r="K1343" i="4"/>
  <c r="K1351" i="4"/>
  <c r="AA1350" i="4"/>
  <c r="AD1350" i="4"/>
  <c r="AI1350" i="4" s="1"/>
  <c r="AB1350" i="4"/>
  <c r="AC1350" i="4"/>
  <c r="K1353" i="4"/>
  <c r="K1347" i="4"/>
  <c r="AC1351" i="4"/>
  <c r="AB1351" i="4"/>
  <c r="AD1351" i="4"/>
  <c r="AI1351" i="4" s="1"/>
  <c r="AC1354" i="4"/>
  <c r="AB1354" i="4"/>
  <c r="AD1354" i="4"/>
  <c r="AI1354" i="4" s="1"/>
  <c r="AD1348" i="4"/>
  <c r="AI1348" i="4" s="1"/>
  <c r="AC1348" i="4"/>
  <c r="AB1348" i="4"/>
  <c r="AC1352" i="4"/>
  <c r="AD1352" i="4"/>
  <c r="AI1352" i="4" s="1"/>
  <c r="AB1352" i="4"/>
  <c r="AA1347" i="4"/>
  <c r="AA1351" i="4"/>
  <c r="AA1346" i="4"/>
  <c r="AA1352" i="4"/>
  <c r="K1350" i="4"/>
  <c r="K1352" i="4"/>
  <c r="AC1344" i="4"/>
  <c r="AD1344" i="4"/>
  <c r="AI1344" i="4" s="1"/>
  <c r="AB1344" i="4"/>
  <c r="AA1354" i="4"/>
  <c r="AD1355" i="4"/>
  <c r="AI1355" i="4" s="1"/>
  <c r="AB1355" i="4"/>
  <c r="AC1355" i="4"/>
  <c r="AB1345" i="4"/>
  <c r="AC1345" i="4"/>
  <c r="AD1345" i="4"/>
  <c r="AI1345" i="4" s="1"/>
  <c r="AA1332" i="4"/>
  <c r="AA1342" i="4"/>
  <c r="K43" i="11"/>
  <c r="K1341" i="4"/>
  <c r="K1333" i="4"/>
  <c r="K1331" i="4"/>
  <c r="K1332" i="4"/>
  <c r="K1338" i="4"/>
  <c r="K1339" i="4"/>
  <c r="K1334" i="4"/>
  <c r="K1336" i="4"/>
  <c r="K1342" i="4"/>
  <c r="K1340" i="4"/>
  <c r="AD1332" i="4"/>
  <c r="AI1332" i="4" s="1"/>
  <c r="AC1332" i="4"/>
  <c r="AB1332" i="4"/>
  <c r="AC1342" i="4"/>
  <c r="AD1342" i="4"/>
  <c r="AI1342" i="4" s="1"/>
  <c r="AB1342" i="4"/>
  <c r="K1335" i="4"/>
  <c r="K1330" i="4"/>
  <c r="K1337" i="4"/>
  <c r="K1322" i="4"/>
  <c r="K1317" i="4"/>
  <c r="K1324" i="4"/>
  <c r="K1325" i="4"/>
  <c r="K1326" i="4"/>
  <c r="K1323" i="4"/>
  <c r="K1319" i="4"/>
  <c r="AB1329" i="4"/>
  <c r="AD1329" i="4"/>
  <c r="AI1329" i="4" s="1"/>
  <c r="AC1329" i="4"/>
  <c r="K1327" i="4"/>
  <c r="K1328" i="4"/>
  <c r="AA1329" i="4"/>
  <c r="K1321" i="4"/>
  <c r="AC1319" i="4"/>
  <c r="AD1319" i="4"/>
  <c r="AI1319" i="4" s="1"/>
  <c r="AB1319" i="4"/>
  <c r="AA1319" i="4"/>
  <c r="K1320" i="4"/>
  <c r="K1306" i="4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T94" i="18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T109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O96" i="18"/>
  <c r="R96" i="18"/>
  <c r="U261" i="18"/>
  <c r="W261" i="18"/>
  <c r="K347" i="3"/>
  <c r="K247" i="11"/>
  <c r="K259" i="3"/>
  <c r="K54" i="11"/>
  <c r="K4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O93" i="18"/>
  <c r="R93" i="18"/>
  <c r="W239" i="18"/>
  <c r="U239" i="18"/>
  <c r="O101" i="18"/>
  <c r="R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106" i="18" l="1"/>
  <c r="T105" i="18"/>
  <c r="T104" i="18"/>
  <c r="T102" i="18"/>
  <c r="T103" i="18"/>
  <c r="T100" i="18"/>
  <c r="T101" i="18"/>
  <c r="T96" i="18"/>
  <c r="T99" i="18"/>
  <c r="T92" i="18"/>
  <c r="T98" i="18"/>
  <c r="T93" i="18"/>
  <c r="T97" i="18"/>
  <c r="T95" i="18"/>
  <c r="T90" i="18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13" i="12" l="1"/>
  <c r="P4" i="12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H91" i="6" s="1"/>
  <c r="C89" i="6"/>
  <c r="B89" i="6"/>
  <c r="A91" i="6" l="1"/>
  <c r="H92" i="6"/>
  <c r="C91" i="6"/>
  <c r="B91" i="6"/>
  <c r="A90" i="6"/>
  <c r="B90" i="6"/>
  <c r="C90" i="6"/>
  <c r="C92" i="6" l="1"/>
  <c r="B92" i="6"/>
  <c r="H93" i="6"/>
  <c r="A92" i="6"/>
  <c r="A93" i="6" l="1"/>
  <c r="C93" i="6"/>
  <c r="H94" i="6"/>
  <c r="B93" i="6"/>
  <c r="A94" i="6" l="1"/>
  <c r="H95" i="6"/>
  <c r="C94" i="6"/>
  <c r="B94" i="6"/>
  <c r="H96" i="6" l="1"/>
  <c r="A95" i="6"/>
  <c r="B95" i="6"/>
  <c r="C95" i="6"/>
  <c r="C96" i="6" l="1"/>
  <c r="H97" i="6"/>
  <c r="B96" i="6"/>
  <c r="A96" i="6"/>
  <c r="B97" i="6" l="1"/>
  <c r="C97" i="6"/>
  <c r="H98" i="6"/>
  <c r="A97" i="6"/>
  <c r="B98" i="6" l="1"/>
  <c r="C98" i="6"/>
  <c r="A98" i="6"/>
  <c r="H99" i="6"/>
  <c r="A99" i="6" l="1"/>
  <c r="H100" i="6"/>
  <c r="C99" i="6"/>
  <c r="B99" i="6"/>
  <c r="A100" i="6" l="1"/>
  <c r="C100" i="6"/>
  <c r="H101" i="6"/>
  <c r="B100" i="6"/>
  <c r="A101" i="6" l="1"/>
  <c r="H102" i="6"/>
  <c r="C101" i="6"/>
  <c r="B101" i="6"/>
  <c r="A102" i="6" l="1"/>
  <c r="H103" i="6"/>
  <c r="C102" i="6"/>
  <c r="B102" i="6"/>
  <c r="A103" i="6" l="1"/>
  <c r="H104" i="6"/>
  <c r="C103" i="6"/>
  <c r="B103" i="6"/>
  <c r="A104" i="6" l="1"/>
  <c r="H105" i="6"/>
  <c r="C104" i="6"/>
  <c r="B104" i="6"/>
  <c r="A105" i="6" l="1"/>
  <c r="H106" i="6"/>
  <c r="C105" i="6"/>
  <c r="B105" i="6"/>
  <c r="H107" i="6" l="1"/>
  <c r="A106" i="6"/>
  <c r="C106" i="6"/>
  <c r="B106" i="6"/>
  <c r="A107" i="6" l="1"/>
  <c r="B107" i="6"/>
  <c r="C107" i="6"/>
</calcChain>
</file>

<file path=xl/sharedStrings.xml><?xml version="1.0" encoding="utf-8"?>
<sst xmlns="http://schemas.openxmlformats.org/spreadsheetml/2006/main" count="19389" uniqueCount="526">
  <si>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</si>
  <si>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</si>
  <si>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</si>
  <si>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</si>
  <si>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</si>
  <si>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</si>
  <si>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</si>
  <si>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</si>
  <si>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</si>
  <si>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</si>
  <si>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</si>
  <si>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</si>
  <si>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</si>
  <si>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</si>
  <si>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</si>
  <si>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</si>
  <si>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</si>
  <si>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</si>
  <si>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</si>
  <si>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</si>
  <si>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</si>
  <si>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</si>
  <si>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</si>
  <si>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</si>
  <si>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</si>
  <si>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</si>
  <si>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</si>
  <si>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</si>
  <si>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</si>
  <si>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</si>
  <si>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</si>
  <si>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</si>
  <si>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</si>
  <si>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</si>
  <si>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</si>
  <si>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</si>
  <si>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</si>
  <si>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</si>
  <si>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</si>
  <si>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</si>
  <si>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</si>
  <si>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</si>
  <si>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</si>
  <si>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</si>
  <si>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</si>
  <si>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</si>
  <si>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</si>
  <si>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</si>
  <si>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</si>
  <si>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</si>
  <si>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</si>
  <si>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</si>
  <si>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</si>
  <si>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</si>
  <si>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</si>
  <si>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</si>
  <si>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</si>
  <si>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</si>
  <si>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</si>
  <si>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</si>
  <si>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</si>
  <si>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</si>
  <si>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</si>
  <si>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</si>
  <si>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</si>
  <si>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</si>
  <si>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</si>
  <si>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</si>
  <si>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</si>
  <si>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</si>
  <si>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</si>
  <si>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</si>
  <si>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</si>
  <si>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</si>
  <si>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</si>
  <si>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</si>
  <si>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</si>
  <si>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</si>
  <si>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</si>
  <si>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</si>
  <si>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</si>
  <si>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</si>
  <si>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</si>
  <si>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</si>
  <si>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</si>
  <si>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</si>
  <si>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</si>
  <si>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</si>
  <si>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</si>
  <si>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</si>
  <si>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</si>
  <si>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</si>
  <si>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</si>
  <si>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</si>
  <si>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</si>
  <si>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</si>
  <si>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</si>
  <si>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</si>
  <si>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</si>
  <si>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</si>
  <si>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</si>
  <si>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</si>
  <si>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</si>
  <si>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</si>
  <si>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</si>
  <si>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</si>
  <si>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</si>
  <si>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</si>
  <si>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</si>
  <si>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</si>
  <si>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</si>
  <si>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</si>
  <si>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</si>
  <si>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</si>
  <si>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</si>
  <si>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</si>
  <si>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</si>
  <si>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</si>
  <si>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</si>
  <si>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</si>
  <si>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</si>
  <si>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</si>
  <si>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</si>
  <si>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</si>
  <si>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</si>
  <si>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</si>
  <si>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</si>
  <si>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</si>
  <si>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</si>
  <si>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</si>
  <si>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</si>
  <si>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</si>
  <si>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</si>
  <si>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</si>
  <si>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</si>
  <si>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</si>
  <si>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</si>
  <si>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</si>
  <si>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</si>
  <si>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</si>
  <si>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</si>
  <si>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</si>
  <si>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</si>
  <si>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</si>
  <si>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</si>
  <si>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</si>
  <si>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</si>
  <si>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</si>
  <si>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</si>
  <si>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</si>
  <si>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</si>
  <si>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</si>
  <si>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</si>
  <si>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</si>
  <si>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</si>
  <si>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</si>
  <si>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</si>
  <si>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</si>
  <si>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</si>
  <si>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</si>
  <si>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</si>
  <si>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</si>
  <si>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</si>
  <si>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</si>
  <si>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</si>
  <si>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</si>
  <si>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</si>
  <si>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</si>
  <si>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</si>
  <si>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</si>
  <si>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</si>
  <si>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</si>
  <si>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</si>
  <si>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</si>
  <si>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</si>
  <si>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</si>
  <si>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</si>
  <si>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</si>
  <si>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</si>
  <si>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</si>
  <si>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</si>
  <si>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</si>
  <si>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</si>
  <si>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</si>
  <si>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</si>
  <si>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</si>
  <si>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</si>
  <si>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</si>
  <si>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</si>
  <si>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</si>
  <si>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</si>
  <si>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</si>
  <si>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</si>
  <si>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</si>
  <si>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</si>
  <si>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</si>
  <si>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</si>
  <si>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</si>
  <si>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</si>
  <si>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</si>
  <si>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</si>
  <si>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</si>
  <si>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</si>
  <si>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</si>
  <si>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</si>
  <si>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</si>
  <si>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</si>
  <si>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</si>
  <si>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</si>
  <si>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</si>
  <si>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</si>
  <si>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</si>
  <si>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</si>
  <si>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</si>
  <si>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</si>
  <si>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</si>
  <si>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</si>
  <si>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</si>
  <si>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</si>
  <si>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</si>
  <si>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</si>
  <si>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</si>
  <si>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</si>
  <si>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</si>
  <si>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</si>
  <si>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</si>
  <si>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</si>
  <si>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</si>
  <si>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</si>
  <si>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</si>
  <si>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</si>
  <si>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</si>
  <si>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</si>
  <si>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</si>
  <si>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</si>
  <si>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</si>
  <si>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</si>
  <si>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</si>
  <si>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</si>
  <si>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</si>
  <si>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</si>
  <si>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</si>
  <si>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</si>
  <si>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</si>
  <si>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</si>
  <si>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</si>
  <si>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</si>
  <si>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</si>
  <si>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</si>
  <si>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</si>
  <si>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</si>
  <si>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</si>
  <si>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</si>
  <si>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</si>
  <si>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</si>
  <si>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</si>
  <si>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</si>
  <si>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</si>
  <si>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</si>
  <si>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</si>
  <si>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</si>
  <si>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</si>
  <si>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</si>
  <si>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</si>
  <si>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</si>
  <si>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</si>
  <si>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</si>
  <si>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</si>
  <si>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</si>
  <si>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</si>
  <si>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</si>
  <si>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</si>
  <si>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</si>
  <si>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</si>
  <si>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</si>
  <si>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</si>
  <si>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</si>
  <si>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</si>
  <si>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</si>
  <si>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</si>
  <si>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</si>
  <si>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</si>
  <si>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</si>
  <si>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</si>
  <si>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</si>
  <si>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</si>
  <si>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</si>
  <si>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</si>
  <si>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</si>
  <si>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</si>
  <si>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</si>
  <si>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</si>
  <si>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</si>
  <si>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</si>
  <si>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</si>
  <si>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</si>
  <si>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</si>
  <si>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</si>
  <si>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</si>
  <si>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</si>
  <si>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</si>
  <si>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</si>
  <si>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</si>
  <si>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</si>
  <si>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</si>
  <si>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</si>
  <si>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</si>
  <si>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</si>
  <si>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</si>
  <si>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</si>
  <si>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</si>
  <si>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</si>
  <si>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</si>
  <si>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</si>
  <si>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</si>
  <si>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</si>
  <si>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</si>
  <si>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</si>
  <si>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</si>
  <si>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</si>
  <si>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</si>
  <si>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</si>
  <si>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</si>
  <si>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</si>
  <si>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</si>
  <si>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</si>
  <si>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</si>
  <si>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</si>
  <si>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</si>
  <si>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</si>
  <si>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</si>
  <si>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</si>
  <si>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</si>
  <si>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</si>
  <si>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</si>
  <si>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</si>
  <si>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</si>
  <si>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</si>
  <si>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</si>
  <si>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</si>
  <si>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</si>
  <si>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</si>
  <si>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</si>
  <si>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</si>
  <si>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</si>
  <si>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</si>
  <si>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</si>
  <si>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</si>
  <si>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</si>
  <si>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</si>
  <si>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</si>
  <si>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</si>
  <si>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</si>
  <si>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</si>
  <si>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</si>
  <si>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</si>
  <si>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</si>
  <si>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</si>
  <si>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</si>
  <si>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</si>
  <si>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</si>
  <si>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</si>
  <si>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</si>
  <si>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</si>
  <si>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</si>
  <si>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</si>
  <si>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</si>
  <si>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</si>
  <si>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</si>
  <si>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</si>
  <si>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</si>
  <si>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</si>
  <si>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</si>
  <si>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</si>
  <si>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</si>
  <si>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</si>
  <si>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</si>
  <si>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</si>
  <si>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</si>
  <si>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</si>
  <si>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</si>
  <si>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</si>
  <si>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</si>
  <si>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</si>
  <si>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</si>
  <si>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</si>
  <si>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</si>
  <si>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</si>
  <si>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</si>
  <si>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</si>
  <si>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</si>
  <si>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</si>
  <si>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</si>
  <si>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</si>
  <si>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</si>
  <si>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</si>
  <si>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</si>
  <si>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</si>
  <si>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</si>
  <si>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</si>
  <si>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</si>
  <si>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</si>
  <si>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</si>
  <si>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</si>
  <si>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</si>
  <si>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</si>
  <si>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</si>
  <si>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</si>
  <si>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</si>
  <si>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</si>
  <si>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</si>
  <si>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</si>
  <si>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</si>
  <si>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</si>
  <si>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</si>
  <si>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</si>
  <si>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</si>
  <si>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</si>
  <si>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</si>
  <si>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</si>
  <si>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</si>
  <si>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</si>
  <si>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</si>
  <si>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</si>
  <si>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</si>
  <si>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</si>
  <si>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</si>
  <si>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</si>
  <si>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</si>
  <si>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</si>
  <si>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</si>
  <si>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</si>
  <si>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</si>
  <si>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</si>
  <si>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</si>
  <si>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</si>
  <si>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</si>
  <si>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</si>
  <si>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</si>
  <si>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</si>
  <si>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</si>
  <si>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</si>
  <si>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</si>
  <si>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</si>
  <si>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</si>
  <si>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</si>
  <si>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</si>
  <si>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</si>
  <si>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</si>
  <si>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</si>
  <si>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</si>
  <si>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</si>
  <si>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</si>
  <si>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</si>
  <si>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</si>
  <si>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</si>
  <si>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</si>
  <si>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</si>
  <si>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</si>
  <si>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</si>
  <si>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</si>
  <si>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</si>
  <si>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</si>
  <si>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</si>
  <si>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</si>
  <si>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</si>
  <si>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</si>
  <si>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</si>
  <si>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</si>
  <si>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</si>
  <si>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</si>
  <si>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</si>
  <si>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</si>
  <si>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</si>
  <si>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</si>
  <si>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</si>
  <si>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</si>
  <si>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</si>
  <si>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</si>
  <si>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</si>
  <si>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</si>
  <si>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</si>
  <si>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</si>
  <si>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</si>
  <si>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</si>
  <si>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</si>
  <si>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</si>
  <si>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</si>
  <si>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</si>
  <si>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</si>
  <si>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</si>
  <si>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</si>
  <si>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</si>
  <si>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</si>
  <si>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</si>
  <si>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</si>
  <si>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</si>
  <si>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</si>
  <si>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</si>
  <si>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</si>
  <si>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</si>
  <si>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</si>
  <si>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</si>
  <si>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</si>
  <si>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</si>
  <si>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</si>
  <si>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</si>
  <si>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</si>
  <si>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</si>
  <si>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</si>
  <si>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</si>
  <si>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</si>
  <si>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</si>
  <si>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</si>
  <si>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</si>
  <si>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</si>
  <si>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</si>
  <si>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</si>
  <si>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</si>
  <si>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</si>
  <si>
    <t>Month :-July 2025</t>
  </si>
  <si>
    <t>Grid-01</t>
  </si>
  <si>
    <t>Grid-02</t>
  </si>
  <si>
    <t>Grid-03</t>
  </si>
  <si>
    <t>Grid-08</t>
  </si>
  <si>
    <t>Grid-07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</si>
</sst>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" fontId="35" fillId="0" borderId="1" xfId="34040" applyNumberFormat="1" applyFont="1" applyFill="1" applyBorder="1" applyAlignment="1">
      <alignment horizontal="center" vertical="center"/>
    </xf>
    <xf numFmtId="0" fontId="35" fillId="0" borderId="1" xfId="3404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110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109" totalsRowShown="0">
  <autoFilter ref="A2:Q109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08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498" totalsRowShown="0">
  <autoFilter ref="A3:AK1498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03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25" t="s">
        <v>520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45839</v>
      </c>
      <c r="C2" s="167"/>
      <c r="D2" s="167"/>
      <c r="E2" s="167"/>
      <c r="F2" s="168"/>
    </row>
    <row r="3" spans="1:7">
      <c r="A3" s="92" t="s">
        <v>1</v>
      </c>
      <c r="B3" s="186">
        <v>45851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40.702654142805535</v>
      </c>
      <c r="D9" s="103">
        <f>_xlfn.XLOOKUP($B$3,'Daily KPI'!$A:$A,'Daily KPI'!AA:AA)/1000</f>
        <v>52.292599999984532</v>
      </c>
      <c r="E9" s="104">
        <f>-(C9-D9)/C9</f>
        <v>0.28474668547450477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529.13450385647195</v>
      </c>
      <c r="D10" s="107">
        <f>'Monthly KPI'!$F$4</f>
        <v>511.48790000000378</v>
      </c>
      <c r="E10" s="108">
        <f t="shared" ref="E10:E29" si="0">-(C10-D10)/C10</f>
        <v>-3.3349939812760403E-2</v>
      </c>
      <c r="F10" s="188"/>
    </row>
    <row r="11" spans="1:7" ht="15.75" thickBot="1">
      <c r="A11" s="230"/>
      <c r="B11" s="109" t="s">
        <v>13</v>
      </c>
      <c r="C11" s="106">
        <f>_xlfn.XLOOKUP($B$2,'Modelling New'!$D:$D,'Modelling New'!V:V)</f>
        <v>5886.8954087415605</v>
      </c>
      <c r="D11" s="110">
        <f>'Annual KPI'!$F$4</f>
        <v>4817.8707999999833</v>
      </c>
      <c r="E11" s="111">
        <f t="shared" si="0"/>
        <v>-0.18159395309693505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0.14470511285127108</v>
      </c>
      <c r="D12" s="113">
        <f>_xlfn.XLOOKUP($B$3,'Daily KPI'!$A:$A,'Daily KPI'!$W:$W)</f>
        <v>0.18590941410688466</v>
      </c>
      <c r="E12" s="104">
        <f t="shared" si="0"/>
        <v>0.28474668547450466</v>
      </c>
      <c r="F12" s="190"/>
    </row>
    <row r="13" spans="1:7">
      <c r="A13" s="229"/>
      <c r="B13" s="105" t="s">
        <v>15</v>
      </c>
      <c r="C13" s="114">
        <f>'Monthly KPI'!$I$4</f>
        <v>0.14470511285127108</v>
      </c>
      <c r="D13" s="115">
        <f>'Monthly KPI'!$J$4</f>
        <v>0.13987920604708248</v>
      </c>
      <c r="E13" s="108">
        <f t="shared" si="0"/>
        <v>-3.3349939812760424E-2</v>
      </c>
      <c r="F13" s="188"/>
    </row>
    <row r="14" spans="1:7" ht="15.75" thickBot="1">
      <c r="A14" s="230"/>
      <c r="B14" s="109" t="s">
        <v>16</v>
      </c>
      <c r="C14" s="114">
        <f>'Annual KPI'!$I$4</f>
        <v>0.20123991590440815</v>
      </c>
      <c r="D14" s="117">
        <f>'Annual KPI'!$J$4</f>
        <v>0.1646959640544319</v>
      </c>
      <c r="E14" s="111">
        <f t="shared" si="0"/>
        <v>-0.18159395309693505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0.75058845994317613</v>
      </c>
      <c r="D15" s="113">
        <f>_xlfn.XLOOKUP($B$3,'Daily KPI'!$A:$A,'Daily KPI'!U:U)</f>
        <v>0.72644512187646249</v>
      </c>
      <c r="E15" s="104">
        <f t="shared" si="0"/>
        <v>-3.2165879646672745E-2</v>
      </c>
      <c r="F15" s="187"/>
    </row>
    <row r="16" spans="1:7">
      <c r="A16" s="229"/>
      <c r="B16" s="105" t="s">
        <v>18</v>
      </c>
      <c r="C16" s="114">
        <f>AVERAGEIF('Daily KPI'!$D:$D,$B$2,'Daily KPI'!AE:AE)</f>
        <v>0.75058845994317636</v>
      </c>
      <c r="D16" s="115">
        <f>'Monthly KPI'!$H$4</f>
        <v>0.75437210642046137</v>
      </c>
      <c r="E16" s="108">
        <f t="shared" si="0"/>
        <v>5.040906807402103E-3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0.72463850418430442</v>
      </c>
      <c r="D17" s="117">
        <f>'Annual KPI'!$H$4</f>
        <v>0.68492402555855625</v>
      </c>
      <c r="E17" s="111">
        <f t="shared" si="0"/>
        <v>-5.4805918256376839E-2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4.6269332580645148</v>
      </c>
      <c r="D18" s="118">
        <f>_xlfn.XLOOKUP($B$3,'Daily KPI'!$A:$A,'Daily KPI'!I:I)</f>
        <v>6.1420000000000003</v>
      </c>
      <c r="E18" s="104">
        <f t="shared" si="0"/>
        <v>0.32744512562285166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60.150132354838689</v>
      </c>
      <c r="D19" s="179">
        <f>'Monthly KPI'!$D$4</f>
        <v>57.852499999999999</v>
      </c>
      <c r="E19" s="108">
        <f t="shared" si="0"/>
        <v>-3.8198292587029704E-2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694.18313835483866</v>
      </c>
      <c r="D20" s="181">
        <f>'Annual KPI'!$D$4</f>
        <v>600.18499999999995</v>
      </c>
      <c r="E20" s="111">
        <f t="shared" si="0"/>
        <v>-0.13540827075922238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1</v>
      </c>
      <c r="E22" s="108">
        <f t="shared" si="0"/>
        <v>5.0251256281407079E-3</v>
      </c>
      <c r="F22" s="191"/>
    </row>
    <row r="23" spans="1:6" ht="15.7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0.98806524250647898</v>
      </c>
      <c r="E23" s="111">
        <f t="shared" si="0"/>
        <v>-6.969605521126649E-3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1</v>
      </c>
      <c r="E24" s="104">
        <f t="shared" si="0"/>
        <v>1.4713343480466724E-2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0.99437148217636018</v>
      </c>
      <c r="E25" s="108">
        <f t="shared" si="0"/>
        <v>9.0020113408017591E-3</v>
      </c>
      <c r="F25" s="188"/>
    </row>
    <row r="26" spans="1:6" ht="15.7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0.95658510892968784</v>
      </c>
      <c r="E26" s="111">
        <f t="shared" si="0"/>
        <v>-2.9340325794329981E-2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0.98621593528268636</v>
      </c>
      <c r="E27" s="124">
        <f t="shared" si="0"/>
        <v>-8.8282057460438521E-3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0.98809794674473694</v>
      </c>
      <c r="E28" s="108">
        <f t="shared" si="0"/>
        <v>-6.936736939962866E-3</v>
      </c>
      <c r="F28" s="188"/>
    </row>
    <row r="29" spans="1:6" ht="15.7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0.97941747115123867</v>
      </c>
      <c r="E29" s="111">
        <f t="shared" si="0"/>
        <v>-1.5660833013830477E-2</v>
      </c>
      <c r="F29" s="189"/>
    </row>
  </sheetData>
  <sheetProtection algorithmName="SHA-512" hashValue="E3zo6VdesMTSUvM3eboXQFbR8l+OiGC6wOiC1btVxfpnVku7hjUo8XCwoZnjvtPJTiT8+lDXDRKdOx9am/GfWA==" saltValue="Aclwg5feUwJ0xBYg6I0QAg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45851</v>
      </c>
      <c r="D7" s="86">
        <f>'Daily Dashboard'!C9</f>
        <v>40.702654142805535</v>
      </c>
      <c r="E7" s="86">
        <f>'Daily Dashboard'!D9</f>
        <v>52.292599999984532</v>
      </c>
      <c r="F7" s="86">
        <f>D7-E7</f>
        <v>-11.589945857178996</v>
      </c>
    </row>
    <row r="8" spans="2:6">
      <c r="B8" s="84" t="s">
        <v>38</v>
      </c>
      <c r="C8" s="85">
        <f t="shared" ref="C8:C30" si="0">$C$7</f>
        <v>45851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45851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45851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45851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45851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45851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45851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45851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45851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45851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45851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45851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45851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45851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0.20351327071402769</v>
      </c>
    </row>
    <row r="22" spans="2:7">
      <c r="B22" s="84" t="s">
        <v>52</v>
      </c>
      <c r="C22" s="85">
        <f t="shared" si="0"/>
        <v>45851</v>
      </c>
      <c r="D22" s="84">
        <f>'Daily Dashboard'!C24*100</f>
        <v>98.550000000000011</v>
      </c>
      <c r="E22" s="84">
        <f>'Daily Dashboard'!D24*100</f>
        <v>100</v>
      </c>
      <c r="F22" s="84">
        <f>E22-D22</f>
        <v>1.4499999999999886</v>
      </c>
      <c r="G22" s="87">
        <f>(F22/100)*$D$7</f>
        <v>0.59018848507067567</v>
      </c>
    </row>
    <row r="23" spans="2:7">
      <c r="B23" s="84" t="s">
        <v>53</v>
      </c>
      <c r="C23" s="85">
        <f t="shared" si="0"/>
        <v>45851</v>
      </c>
      <c r="D23" s="84">
        <f>'Daily Dashboard'!C27*100</f>
        <v>99.5</v>
      </c>
      <c r="E23" s="84">
        <f>'Daily Dashboard'!D27*100</f>
        <v>98.621593528268633</v>
      </c>
      <c r="F23" s="84">
        <f>E23-D23</f>
        <v>-0.87840647173136688</v>
      </c>
      <c r="G23" s="87">
        <f>((F23/100)*$D$7)*20%</f>
        <v>-7.1506949631367819E-2</v>
      </c>
    </row>
    <row r="24" spans="2:7">
      <c r="B24" s="84" t="s">
        <v>54</v>
      </c>
      <c r="C24" s="85">
        <f t="shared" si="0"/>
        <v>45851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45851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45851</v>
      </c>
      <c r="D26" s="88">
        <f>'Daily Dashboard'!$D$9</f>
        <v>52.292599999984532</v>
      </c>
      <c r="E26" s="88">
        <f>'Daily Dashboard'!$D$9</f>
        <v>52.292599999984532</v>
      </c>
      <c r="F26" s="88">
        <f>'Daily Dashboard'!$D$9</f>
        <v>52.292599999984532</v>
      </c>
    </row>
    <row r="27" spans="2:7">
      <c r="B27" s="84" t="s">
        <v>56</v>
      </c>
      <c r="C27" s="85">
        <f t="shared" si="0"/>
        <v>45851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45851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45851</v>
      </c>
      <c r="D29" s="84">
        <v>0</v>
      </c>
      <c r="E29" s="86">
        <f>-(F7+G30)+(SUM(G21:G23))</f>
        <v>-1.0157450356421109</v>
      </c>
      <c r="F29" s="86">
        <f>E29</f>
        <v>-1.0157450356421109</v>
      </c>
    </row>
    <row r="30" spans="2:7">
      <c r="B30" s="84" t="s">
        <v>59</v>
      </c>
      <c r="C30" s="85">
        <f t="shared" si="0"/>
        <v>45851</v>
      </c>
      <c r="D30" s="84">
        <f>'Daily Dashboard'!C18</f>
        <v>4.6269332580645148</v>
      </c>
      <c r="E30" s="89">
        <f>'Daily Dashboard'!D18</f>
        <v>6.1420000000000003</v>
      </c>
      <c r="F30" s="84">
        <f>E30-D30</f>
        <v>1.5150667419354855</v>
      </c>
      <c r="G30" s="83">
        <f>(F30/D30)*D7</f>
        <v>13.327885698974443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E12" sqref="E12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>
      <c r="A1" s="66" t="s">
        <v>60</v>
      </c>
      <c r="B1" s="67">
        <f>'Daily Dashboard'!$B$3</f>
        <v>45851</v>
      </c>
      <c r="C1" s="70">
        <f>'Daily Dashboard'!$B$2</f>
        <v>45839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104</v>
      </c>
      <c r="C4" s="78">
        <f>_xlfn.XLOOKUP($C$1,'Modelling New'!$D:$D,'Modelling New'!S:S)</f>
        <v>694.18313835483866</v>
      </c>
      <c r="D4" s="79">
        <f>IFERROR(SUMIFS('Daily KPI'!$I:$I,'Daily KPI'!$B:$B,$A4,'Daily KPI'!$A:$A,"&lt;="&amp;$B$1),"")</f>
        <v>600.18499999999995</v>
      </c>
      <c r="E4" s="78">
        <f>_xlfn.XLOOKUP($C$1,'Modelling New'!$D:$D,'Modelling New'!V:V)</f>
        <v>5886.8954087415605</v>
      </c>
      <c r="F4" s="79">
        <f>SUMIFS('Daily KPI'!$AA:$AA,'Daily KPI'!$B:$B,'Annual KPI'!A4,'Daily KPI'!$A:$A,"&lt;="&amp;'Annual KPI'!$B$1)/1000</f>
        <v>4817.8707999999833</v>
      </c>
      <c r="G4" s="80">
        <f>IFERROR(E4/C4/'Modelling New'!$AQ$1,"")</f>
        <v>0.72357682338381679</v>
      </c>
      <c r="H4" s="81">
        <f>IFERROR(F4/D4/'Modelling New'!$AQ$1,"")</f>
        <v>0.68492402555855625</v>
      </c>
      <c r="I4" s="80">
        <f>IFERROR(E4/(B4*24*'Modelling New'!$AQ$1),"")</f>
        <v>0.20123991590440815</v>
      </c>
      <c r="J4" s="81">
        <f>IFERROR(F4/(B4*24*'Modelling New'!$AQ$1),"")</f>
        <v>0.1646959640544319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0.95658510892968784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0.98806524250647898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0.97941747115123867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153.45850000000004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0.67853466092003489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0.9322669890153471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694.18313835483866</v>
      </c>
      <c r="D13" s="79">
        <f>SUMIF('Daily KPI'!$D:$D,$A13,'Daily KPI'!I:I)</f>
        <v>57.852499999999999</v>
      </c>
      <c r="E13" s="78">
        <f>_xlfn.XLOOKUP($A13,'Modelling New'!$D:$D,'Modelling New'!V:V)</f>
        <v>5886.8954087415605</v>
      </c>
      <c r="F13" s="79">
        <f>SUMIF('Daily KPI'!$D:$D,$A13,'Daily KPI'!AA:AA)/1000</f>
        <v>511.48790000000378</v>
      </c>
      <c r="G13" s="73">
        <f>IFERROR(E13/C13/'Modelling New'!$AQ$1,"")</f>
        <v>0.72357682338381679</v>
      </c>
      <c r="H13" s="74">
        <f>IFERROR(F13/D13/'Modelling New'!$AQ$1,"")</f>
        <v>0.75437210642046137</v>
      </c>
      <c r="I13" s="73">
        <f>IFERROR(E13/(B13*24*'Modelling New'!$AQ$1),"")</f>
        <v>0.67512745980833699</v>
      </c>
      <c r="J13" s="74">
        <f>IFERROR(F13/(B13*24*'Modelling New'!$AQ$1),"")</f>
        <v>5.8659021890712017E-2</v>
      </c>
      <c r="K13" s="73">
        <f>_xlfn.XLOOKUP($A13,'Modelling New'!$D:$D,'Modelling New'!AF:AF)</f>
        <v>0.98550000000000004</v>
      </c>
      <c r="L13" s="74">
        <f>IFERROR(AVERAGEIF('Daily KPI'!$D:$D,$A13,'Daily KPI'!R:R),"")</f>
        <v>0.99437148217636018</v>
      </c>
      <c r="M13" s="73">
        <f>_xlfn.XLOOKUP($A13,'Modelling New'!$D:$D,'Modelling New'!AE:AE)</f>
        <v>0.995</v>
      </c>
      <c r="N13" s="74">
        <f>IFERROR(AVERAGEIF('Daily KPI'!$D:$D,$A13,'Daily KPI'!O:O),"")</f>
        <v>1</v>
      </c>
      <c r="O13" s="73">
        <f>_xlfn.XLOOKUP($A13,'Modelling New'!$D:$D,'Modelling New'!AG:AG)</f>
        <v>0.995</v>
      </c>
      <c r="P13" s="74">
        <f>IFERROR(AVERAGEIF('Daily KPI'!$D:$D,$A13,'Daily KPI'!T:T),"")</f>
        <v>0.98809794674473694</v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694.18313835483866</v>
      </c>
      <c r="D14" s="79">
        <f>SUMIF('Daily KPI'!$D:$D,$A14,'Daily KPI'!I:I)</f>
        <v>0</v>
      </c>
      <c r="E14" s="78">
        <f>_xlfn.XLOOKUP($A14,'Modelling New'!$D:$D,'Modelling New'!V:V)</f>
        <v>5886.8954087415605</v>
      </c>
      <c r="F14" s="79">
        <f>SUMIF('Daily KPI'!$D:$D,$A14,'Daily KPI'!AA:AA)/1000</f>
        <v>0</v>
      </c>
      <c r="G14" s="73">
        <f>IFERROR(E14/C14/'Modelling New'!$AQ$1,"")</f>
        <v>0.72357682338381679</v>
      </c>
      <c r="H14" s="74" t="str">
        <f>IFERROR(F14/D14/'Modelling New'!$AQ$1,"")</f>
        <v/>
      </c>
      <c r="I14" s="73">
        <f>IFERROR(E14/(B14*24*'Modelling New'!$AQ$1),"")</f>
        <v>0.67512745980833699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694.18313835483866</v>
      </c>
      <c r="D15" s="79">
        <f>SUMIF('Daily KPI'!$D:$D,$A15,'Daily KPI'!I:I)</f>
        <v>0</v>
      </c>
      <c r="E15" s="78">
        <f>_xlfn.XLOOKUP($A15,'Modelling New'!$D:$D,'Modelling New'!V:V)</f>
        <v>5886.8954087415605</v>
      </c>
      <c r="F15" s="79">
        <f>SUMIF('Daily KPI'!$D:$D,$A15,'Daily KPI'!AA:AA)/1000</f>
        <v>0</v>
      </c>
      <c r="G15" s="73">
        <f>IFERROR(E15/C15/'Modelling New'!$AQ$1,"")</f>
        <v>0.72357682338381679</v>
      </c>
      <c r="H15" s="74" t="str">
        <f>IFERROR(F15/D15/'Modelling New'!$AQ$1,"")</f>
        <v/>
      </c>
      <c r="I15" s="73">
        <f>IFERROR(E15/(B15*24*'Modelling New'!$AQ$1),"")</f>
        <v>0.697631708468615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694.18313835483866</v>
      </c>
      <c r="D16" s="79">
        <f>SUMIF('Daily KPI'!$D:$D,$A16,'Daily KPI'!I:I)</f>
        <v>0</v>
      </c>
      <c r="E16" s="78">
        <f>_xlfn.XLOOKUP($A16,'Modelling New'!$D:$D,'Modelling New'!V:V)</f>
        <v>5886.8954087415605</v>
      </c>
      <c r="F16" s="79">
        <f>SUMIF('Daily KPI'!$D:$D,$A16,'Daily KPI'!AA:AA)/1000</f>
        <v>0</v>
      </c>
      <c r="G16" s="73">
        <f>IFERROR(E16/C16/'Modelling New'!$AQ$1,"")</f>
        <v>0.72357682338381679</v>
      </c>
      <c r="H16" s="74" t="str">
        <f>IFERROR(F16/D16/'Modelling New'!$AQ$1,"")</f>
        <v/>
      </c>
      <c r="I16" s="73">
        <f>IFERROR(E16/(B16*24*'Modelling New'!$AQ$1),"")</f>
        <v>0.67512745980833699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694.18313835483866</v>
      </c>
      <c r="D17" s="79">
        <f>SUMIF('Daily KPI'!$D:$D,$A17,'Daily KPI'!I:I)</f>
        <v>0</v>
      </c>
      <c r="E17" s="78">
        <f>_xlfn.XLOOKUP($A17,'Modelling New'!$D:$D,'Modelling New'!V:V)</f>
        <v>5886.8954087415605</v>
      </c>
      <c r="F17" s="79">
        <f>SUMIF('Daily KPI'!$D:$D,$A17,'Daily KPI'!AA:AA)/1000</f>
        <v>0</v>
      </c>
      <c r="G17" s="73">
        <f>IFERROR(E17/C17/'Modelling New'!$AQ$1,"")</f>
        <v>0.72357682338381679</v>
      </c>
      <c r="H17" s="74" t="str">
        <f>IFERROR(F17/D17/'Modelling New'!$AQ$1,"")</f>
        <v/>
      </c>
      <c r="I17" s="73">
        <f>IFERROR(E17/(B17*24*'Modelling New'!$AQ$1),"")</f>
        <v>0.697631708468615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694.18313835483866</v>
      </c>
      <c r="D18" s="79">
        <f>SUMIF('Daily KPI'!$D:$D,$A18,'Daily KPI'!I:I)</f>
        <v>0</v>
      </c>
      <c r="E18" s="78">
        <f>_xlfn.XLOOKUP($A18,'Modelling New'!$D:$D,'Modelling New'!V:V)</f>
        <v>5886.8954087415605</v>
      </c>
      <c r="F18" s="79">
        <f>SUMIF('Daily KPI'!$D:$D,$A18,'Daily KPI'!AA:AA)/1000</f>
        <v>0</v>
      </c>
      <c r="G18" s="73">
        <f>IFERROR(E18/C18/'Modelling New'!$AQ$1,"")</f>
        <v>0.72357682338381679</v>
      </c>
      <c r="H18" s="74" t="str">
        <f>IFERROR(F18/D18/'Modelling New'!$AQ$1,"")</f>
        <v/>
      </c>
      <c r="I18" s="73">
        <f>IFERROR(E18/(B18*24*'Modelling New'!$AQ$1),"")</f>
        <v>0.67512745980833699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694.18313835483866</v>
      </c>
      <c r="D19" s="79">
        <f>SUMIF('Daily KPI'!$D:$D,$A19,'Daily KPI'!I:I)</f>
        <v>0</v>
      </c>
      <c r="E19" s="78">
        <f>_xlfn.XLOOKUP($A19,'Modelling New'!$D:$D,'Modelling New'!V:V)</f>
        <v>5886.8954087415605</v>
      </c>
      <c r="F19" s="79">
        <f>SUMIF('Daily KPI'!$D:$D,$A19,'Daily KPI'!AA:AA)/1000</f>
        <v>0</v>
      </c>
      <c r="G19" s="73">
        <f>IFERROR(E19/C19/'Modelling New'!$AQ$1,"")</f>
        <v>0.72357682338381679</v>
      </c>
      <c r="H19" s="74" t="str">
        <f>IFERROR(F19/D19/'Modelling New'!$AQ$1,"")</f>
        <v/>
      </c>
      <c r="I19" s="73">
        <f>IFERROR(E19/(B19*24*'Modelling New'!$AQ$1),"")</f>
        <v>0.67512745980833699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694.18313835483866</v>
      </c>
      <c r="D20" s="79">
        <f>SUMIF('Daily KPI'!$D:$D,$A20,'Daily KPI'!I:I)</f>
        <v>0</v>
      </c>
      <c r="E20" s="78">
        <f>_xlfn.XLOOKUP($A20,'Modelling New'!$D:$D,'Modelling New'!V:V)</f>
        <v>5886.8954087415605</v>
      </c>
      <c r="F20" s="79">
        <f>SUMIF('Daily KPI'!$D:$D,$A20,'Daily KPI'!AA:AA)/1000</f>
        <v>0</v>
      </c>
      <c r="G20" s="73">
        <f>IFERROR(E20/C20/'Modelling New'!$AQ$1,"")</f>
        <v>0.72357682338381679</v>
      </c>
      <c r="H20" s="74" t="str">
        <f>IFERROR(F20/D20/'Modelling New'!$AQ$1,"")</f>
        <v/>
      </c>
      <c r="I20" s="73">
        <f>IFERROR(E20/(B20*24*'Modelling New'!$AQ$1),"")</f>
        <v>0.74746254478780172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694.18313835483866</v>
      </c>
      <c r="D21" s="79">
        <f>SUMIF('Daily KPI'!$D:$D,$A21,'Daily KPI'!I:I)</f>
        <v>0</v>
      </c>
      <c r="E21" s="78">
        <f>_xlfn.XLOOKUP($A21,'Modelling New'!$D:$D,'Modelling New'!V:V)</f>
        <v>5886.8954087415605</v>
      </c>
      <c r="F21" s="79">
        <f>SUMIF('Daily KPI'!$D:$D,$A21,'Daily KPI'!AA:AA)/1000</f>
        <v>0</v>
      </c>
      <c r="G21" s="73">
        <f>IFERROR(E21/C21/'Modelling New'!$AQ$1,"")</f>
        <v>0.72357682338381679</v>
      </c>
      <c r="H21" s="74" t="str">
        <f>IFERROR(F21/D21/'Modelling New'!$AQ$1,"")</f>
        <v/>
      </c>
      <c r="I21" s="73">
        <f>IFERROR(E21/(B21*24*'Modelling New'!$AQ$1),"")</f>
        <v>0.67512745980833699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>'Daily Dashboard'!$B$3</f>
        <v>45851</v>
      </c>
    </row>
    <row r="2" spans="1:16" ht="20.45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45839</v>
      </c>
      <c r="B4" s="71">
        <f>DAY($B$1)</f>
        <v>13</v>
      </c>
      <c r="C4" s="71">
        <f>_xlfn.XLOOKUP($A$4,'Modelling New'!$D:$D,'Modelling New'!R:R)</f>
        <v>60.150132354838689</v>
      </c>
      <c r="D4" s="72">
        <f>SUMIF('Daily KPI'!$D:$D,$A$4,'Daily KPI'!I:I)</f>
        <v>57.852499999999999</v>
      </c>
      <c r="E4" s="71">
        <f>_xlfn.XLOOKUP($A$4,'Modelling New'!$D:$D,'Modelling New'!U:U)</f>
        <v>529.13450385647195</v>
      </c>
      <c r="F4" s="72">
        <f>SUMIF('Daily KPI'!$D:$D,$A$4,'Daily KPI'!$AA:$AA)/1000</f>
        <v>511.48790000000378</v>
      </c>
      <c r="G4" s="73">
        <f>IFERROR(E4/C4/'Modelling New'!$AQ$1,"")</f>
        <v>0.75058845994317613</v>
      </c>
      <c r="H4" s="74">
        <f>IFERROR(F4/D4/'Modelling New'!$AQ$1,"")</f>
        <v>0.75437210642046137</v>
      </c>
      <c r="I4" s="73">
        <f>IFERROR(E4/(B4*24*'Modelling New'!$AQ$1),"")</f>
        <v>0.14470511285127108</v>
      </c>
      <c r="J4" s="74">
        <f>IFERROR(F4/(B4*24*'Modelling New'!$AQ$1),"")</f>
        <v>0.13987920604708248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0.99437148217636018</v>
      </c>
      <c r="M4" s="73">
        <f>_xlfn.XLOOKUP($A$4,'Modelling New'!$D:$D,'Modelling New'!AE:AE)</f>
        <v>0.995</v>
      </c>
      <c r="N4" s="74">
        <f>IFERROR(AVERAGEIF('Daily KPI'!$D:$D,$A$4,'Daily KPI'!O:O),"")</f>
        <v>1</v>
      </c>
      <c r="O4" s="73">
        <f>_xlfn.XLOOKUP($A$4,'Modelling New'!$D:$D,'Modelling New'!AG:AG)</f>
        <v>0.995</v>
      </c>
      <c r="P4" s="74">
        <f>IFERROR(AVERAGEIF('Daily KPI'!$D:$D,$A$4,'Daily KPI'!T:T),"")</f>
        <v>0.98809794674473694</v>
      </c>
    </row>
    <row r="7" spans="1:16">
      <c r="A7" s="66" t="s">
        <v>80</v>
      </c>
      <c r="B7" s="67">
        <f>B8-6</f>
        <v>45845</v>
      </c>
      <c r="D7" s="75"/>
      <c r="F7" s="75"/>
    </row>
    <row r="8" spans="1:16">
      <c r="A8" s="66" t="s">
        <v>81</v>
      </c>
      <c r="B8" s="67">
        <f>$B$1</f>
        <v>45851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45839</v>
      </c>
      <c r="B11" s="71">
        <f>(B8-B7)+1</f>
        <v>7</v>
      </c>
      <c r="C11" s="71">
        <f>SUMIFS('Daily KPI'!$AC:$AC,'Daily KPI'!$A:$A,"&gt;="&amp;$B$7,'Daily KPI'!$A:$A,"&lt;="&amp;$B$8)</f>
        <v>32.388532806451607</v>
      </c>
      <c r="D11" s="72">
        <f>SUMIFS('Daily KPI'!$I:$I,'Daily KPI'!$A:$A,"&gt;="&amp;$B$7,'Daily KPI'!$A:$A,"&lt;="&amp;$B$8)</f>
        <v>33.496500000000005</v>
      </c>
      <c r="E11" s="71">
        <f>SUMIFS('Daily KPI'!$AD:$AD,'Daily KPI'!$A:$A,"&gt;="&amp;$B$7,'Daily KPI'!$A:$A,"&lt;="&amp;$B$8)/1000</f>
        <v>284.91857899963878</v>
      </c>
      <c r="F11" s="72">
        <f>SUMIFS('Daily KPI'!$AA:$AA,'Daily KPI'!$A:$A,"&gt;="&amp;$B$7,'Daily KPI'!$A:$A,"&lt;="&amp;$B$8)/1000</f>
        <v>295.40009999999563</v>
      </c>
      <c r="G11" s="73">
        <f>IFERROR(E11/C11/'Modelling New'!$AQ$1,"")</f>
        <v>0.75058845994317613</v>
      </c>
      <c r="H11" s="74">
        <f>IFERROR(F11/D11/'Modelling New'!$AQ$1,"")</f>
        <v>0.75246030747748027</v>
      </c>
      <c r="I11" s="73">
        <f>IFERROR(E11/(B11*24*'Modelling New'!$AQ$1),"")</f>
        <v>0.14470511285127111</v>
      </c>
      <c r="J11" s="74">
        <f>IFERROR(F11/(B11*24*'Modelling New'!$AQ$1),"")</f>
        <v>0.15002849219892514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1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1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0.98618254437416553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96" activePane="bottomRight" state="frozen"/>
      <selection pane="topRight" activeCell="AB39" sqref="AB39"/>
      <selection pane="bottomLeft" activeCell="AB39" sqref="AB39"/>
      <selection pane="bottomRight" activeCell="A101" sqref="A101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6.9024999999999999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0.49108066647452514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3.3050000000000002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0.45788003490428325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3.6589999999999998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0.63458002941880276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7.0994999999999999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0.72415569331800622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0.7798165137614681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7.4850000000000003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0.72706391166859552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6.9329999999999998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0.72456555160610869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4.8875000000000002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0.75673646814410334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4.1139999999999999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0.79374142402268122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4.8259999999999996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0.74186820818403199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3.7280000000000002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0.78960847895815445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6.3665000000000003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0.7239539623067095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5.7450000000000001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0.73524833881339546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4.0374999999999996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0.76478830080646132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3.536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0.79750166015429902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>
        <f>IFERROR(_xlfn.XLOOKUP($A96,'Raw Data'!$G:$G,'Raw Data'!$AH:$AH),"")</f>
        <v>12.299999999999999</v>
      </c>
      <c r="G96" s="131">
        <f>IFERROR(_xlfn.XLOOKUP($A96,'Raw Data'!$G:$G,'Raw Data'!$S:$S)/1000,"")</f>
        <v>0</v>
      </c>
      <c r="H96" s="131"/>
      <c r="I96" s="131">
        <f>IFERROR(_xlfn.XLOOKUP($A96,'Raw Data'!$G:$G,'Raw Data'!$AF:$AF)/1000,"")</f>
        <v>2.923</v>
      </c>
      <c r="J96" s="131"/>
      <c r="K96" s="131">
        <f>IFERROR(_xlfn.XLOOKUP($A96,'Raw Data'!$G:$G,'Raw Data'!W:W),"")</f>
        <v>23</v>
      </c>
      <c r="L96" s="131">
        <f>IFERROR(_xlfn.XLOOKUP($A96,'Raw Data'!$G:$G,'Raw Data'!X:X),"")</f>
        <v>30</v>
      </c>
      <c r="M96" s="131">
        <f>IFERROR(_xlfn.XLOOKUP($A96,'Raw Data'!$G:$G,'Raw Data'!Y:Y),"")</f>
        <v>4</v>
      </c>
      <c r="N96" s="131">
        <f>IFERROR(_xlfn.XLOOKUP($A96,'Raw Data'!$G:$G,'Raw Data'!Z:Z),"")</f>
        <v>10</v>
      </c>
      <c r="O96" s="158">
        <f>IFERROR(1-SUMIF('Plant BD'!$H:$H,$A96,'Plant BD'!AC:AC)/$F96,"")</f>
        <v>1</v>
      </c>
      <c r="P96" s="158"/>
      <c r="Q96" s="159"/>
      <c r="R96" s="158">
        <f>IFERROR(1-SUMIF('Grid BD'!$H:$H,$A96,'Grid BD'!AB:AB)/$F96,"")</f>
        <v>0.92682926829268297</v>
      </c>
      <c r="T96" s="159">
        <f>IFERROR(1-SUMIF(Tracker_BD!$H:$H,$A96,Tracker_BD!AI:AI)/$F96,"")</f>
        <v>0.98592421269040276</v>
      </c>
      <c r="U96" s="160">
        <f t="shared" si="5"/>
        <v>0.68071981775774781</v>
      </c>
      <c r="V96" s="160"/>
      <c r="W96" s="161">
        <f t="shared" si="6"/>
        <v>8.2906001137745683E-2</v>
      </c>
      <c r="X96" s="156">
        <f>IFERROR(_xlfn.XLOOKUP($A96,'Raw Data'!$G:$G,'Raw Data'!$AB:$AB),"")</f>
        <v>23498</v>
      </c>
      <c r="Y96" s="156">
        <f>IFERROR(_xlfn.XLOOKUP($A96,'Raw Data'!$G:$G,'Raw Data'!AC:AC),"")</f>
        <v>23489.500000025146</v>
      </c>
      <c r="Z96" s="156">
        <f>IFERROR(_xlfn.XLOOKUP($A96,'Raw Data'!$G:$G,'Raw Data'!AD:AD),"")</f>
        <v>169.70000000003438</v>
      </c>
      <c r="AA96" s="156">
        <f>IFERROR(_xlfn.XLOOKUP($A96,'Raw Data'!$G:$G,'Raw Data'!AE:AE),"")</f>
        <v>23319.800000025112</v>
      </c>
      <c r="AB96" s="156">
        <f>IFERROR(_xlfn.XLOOKUP($A96,'Raw Data'!$G:$G,'Raw Data'!$H:$H),"")</f>
        <v>11.72</v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>
        <f>IFERROR(_xlfn.XLOOKUP($A97,'Raw Data'!$G:$G,'Raw Data'!$AH:$AH),"")</f>
        <v>12.483333333333334</v>
      </c>
      <c r="G97" s="131">
        <f>IFERROR(_xlfn.XLOOKUP($A97,'Raw Data'!$G:$G,'Raw Data'!$S:$S)/1000,"")</f>
        <v>0</v>
      </c>
      <c r="H97" s="131"/>
      <c r="I97" s="131">
        <f>IFERROR(_xlfn.XLOOKUP($A97,'Raw Data'!$G:$G,'Raw Data'!$AF:$AF)/1000,"")</f>
        <v>1.8620000000000001</v>
      </c>
      <c r="J97" s="131"/>
      <c r="K97" s="131">
        <f>IFERROR(_xlfn.XLOOKUP($A97,'Raw Data'!$G:$G,'Raw Data'!W:W),"")</f>
        <v>23</v>
      </c>
      <c r="L97" s="131">
        <f>IFERROR(_xlfn.XLOOKUP($A97,'Raw Data'!$G:$G,'Raw Data'!X:X),"")</f>
        <v>27.8</v>
      </c>
      <c r="M97" s="131">
        <f>IFERROR(_xlfn.XLOOKUP($A97,'Raw Data'!$G:$G,'Raw Data'!Y:Y),"")</f>
        <v>4</v>
      </c>
      <c r="N97" s="131">
        <f>IFERROR(_xlfn.XLOOKUP($A97,'Raw Data'!$G:$G,'Raw Data'!Z:Z),"")</f>
        <v>7</v>
      </c>
      <c r="O97" s="158">
        <f>IFERROR(1-SUMIF('Plant BD'!$H:$H,$A97,'Plant BD'!AC:AC)/$F97,"")</f>
        <v>1</v>
      </c>
      <c r="P97" s="158"/>
      <c r="Q97" s="159"/>
      <c r="R97" s="158">
        <f>IFERROR(1-SUMIF('Grid BD'!$H:$H,$A97,'Grid BD'!AB:AB)/$F97,"")</f>
        <v>1</v>
      </c>
      <c r="T97" s="159">
        <f>IFERROR(1-SUMIF(Tracker_BD!$H:$H,$A97,Tracker_BD!AI:AI)/$F97,"")</f>
        <v>1.0118564215889385</v>
      </c>
      <c r="U97" s="160">
        <f t="shared" si="5"/>
        <v>0.84718897438570084</v>
      </c>
      <c r="V97" s="160"/>
      <c r="W97" s="161">
        <f t="shared" si="6"/>
        <v>6.5727744596090612E-2</v>
      </c>
      <c r="X97" s="156">
        <f>IFERROR(_xlfn.XLOOKUP($A97,'Raw Data'!$G:$G,'Raw Data'!$AB:$AB),"")</f>
        <v>18730</v>
      </c>
      <c r="Y97" s="156">
        <f>IFERROR(_xlfn.XLOOKUP($A97,'Raw Data'!$G:$G,'Raw Data'!AC:AC),"")</f>
        <v>18674.999999988358</v>
      </c>
      <c r="Z97" s="156">
        <f>IFERROR(_xlfn.XLOOKUP($A97,'Raw Data'!$G:$G,'Raw Data'!AD:AD),"")</f>
        <v>187.09999999998672</v>
      </c>
      <c r="AA97" s="156">
        <f>IFERROR(_xlfn.XLOOKUP($A97,'Raw Data'!$G:$G,'Raw Data'!AE:AE),"")</f>
        <v>18487.899999988371</v>
      </c>
      <c r="AB97" s="156">
        <f>IFERROR(_xlfn.XLOOKUP($A97,'Raw Data'!$G:$G,'Raw Data'!$H:$H),"")</f>
        <v>11.72</v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>
        <f>IFERROR(_xlfn.XLOOKUP($A98,'Raw Data'!$G:$G,'Raw Data'!$AH:$AH),"")</f>
        <v>12.400000000000002</v>
      </c>
      <c r="G98" s="131">
        <f>IFERROR(_xlfn.XLOOKUP($A98,'Raw Data'!$G:$G,'Raw Data'!$S:$S)/1000,"")</f>
        <v>0</v>
      </c>
      <c r="H98" s="131"/>
      <c r="I98" s="131">
        <f>IFERROR(_xlfn.XLOOKUP($A98,'Raw Data'!$G:$G,'Raw Data'!$AF:$AF)/1000,"")</f>
        <v>2.9409999999999998</v>
      </c>
      <c r="J98" s="131"/>
      <c r="K98" s="131">
        <f>IFERROR(_xlfn.XLOOKUP($A98,'Raw Data'!$G:$G,'Raw Data'!W:W),"")</f>
        <v>23</v>
      </c>
      <c r="L98" s="131">
        <f>IFERROR(_xlfn.XLOOKUP($A98,'Raw Data'!$G:$G,'Raw Data'!X:X),"")</f>
        <v>31</v>
      </c>
      <c r="M98" s="131">
        <f>IFERROR(_xlfn.XLOOKUP($A98,'Raw Data'!$G:$G,'Raw Data'!Y:Y),"")</f>
        <v>4</v>
      </c>
      <c r="N98" s="131">
        <f>IFERROR(_xlfn.XLOOKUP($A98,'Raw Data'!$G:$G,'Raw Data'!Z:Z),"")</f>
        <v>8</v>
      </c>
      <c r="O98" s="158">
        <f>IFERROR(1-SUMIF('Plant BD'!$H:$H,$A98,'Plant BD'!AC:AC)/$F98,"")</f>
        <v>1</v>
      </c>
      <c r="P98" s="158"/>
      <c r="Q98" s="159"/>
      <c r="R98" s="158">
        <f>IFERROR(1-SUMIF('Grid BD'!$H:$H,$A98,'Grid BD'!AB:AB)/$F98,"")</f>
        <v>1</v>
      </c>
      <c r="T98" s="159">
        <f>IFERROR(1-SUMIF(Tracker_BD!$H:$H,$A98,Tracker_BD!AI:AI)/$F98,"")</f>
        <v>0.98601841552342107</v>
      </c>
      <c r="U98" s="160">
        <f t="shared" si="5"/>
        <v>0.82226623017140699</v>
      </c>
      <c r="V98" s="160"/>
      <c r="W98" s="161">
        <f t="shared" si="6"/>
        <v>0.10076187428892114</v>
      </c>
      <c r="X98" s="156">
        <f>IFERROR(_xlfn.XLOOKUP($A98,'Raw Data'!$G:$G,'Raw Data'!$AB:$AB),"")</f>
        <v>28582</v>
      </c>
      <c r="Y98" s="156">
        <f>IFERROR(_xlfn.XLOOKUP($A98,'Raw Data'!$G:$G,'Raw Data'!AC:AC),"")</f>
        <v>28521.799999987707</v>
      </c>
      <c r="Z98" s="156">
        <f>IFERROR(_xlfn.XLOOKUP($A98,'Raw Data'!$G:$G,'Raw Data'!AD:AD),"")</f>
        <v>179.4999999999618</v>
      </c>
      <c r="AA98" s="156">
        <f>IFERROR(_xlfn.XLOOKUP($A98,'Raw Data'!$G:$G,'Raw Data'!AE:AE),"")</f>
        <v>28342.299999987743</v>
      </c>
      <c r="AB98" s="156">
        <f>IFERROR(_xlfn.XLOOKUP($A98,'Raw Data'!$G:$G,'Raw Data'!$H:$H),"")</f>
        <v>11.72</v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>
        <f>IFERROR(_xlfn.XLOOKUP($A99,'Raw Data'!$G:$G,'Raw Data'!$AH:$AH),"")</f>
        <v>12.466666666666669</v>
      </c>
      <c r="G99" s="131">
        <f>IFERROR(_xlfn.XLOOKUP($A99,'Raw Data'!$G:$G,'Raw Data'!$S:$S)/1000,"")</f>
        <v>0</v>
      </c>
      <c r="H99" s="131"/>
      <c r="I99" s="131">
        <f>IFERROR(_xlfn.XLOOKUP($A99,'Raw Data'!$G:$G,'Raw Data'!$AF:$AF)/1000,"")</f>
        <v>5.2539999999999996</v>
      </c>
      <c r="J99" s="131"/>
      <c r="K99" s="131">
        <f>IFERROR(_xlfn.XLOOKUP($A99,'Raw Data'!$G:$G,'Raw Data'!W:W),"")</f>
        <v>23</v>
      </c>
      <c r="L99" s="131">
        <f>IFERROR(_xlfn.XLOOKUP($A99,'Raw Data'!$G:$G,'Raw Data'!X:X),"")</f>
        <v>36</v>
      </c>
      <c r="M99" s="131">
        <f>IFERROR(_xlfn.XLOOKUP($A99,'Raw Data'!$G:$G,'Raw Data'!Y:Y),"")</f>
        <v>4.7</v>
      </c>
      <c r="N99" s="131">
        <f>IFERROR(_xlfn.XLOOKUP($A99,'Raw Data'!$G:$G,'Raw Data'!Z:Z),"")</f>
        <v>8</v>
      </c>
      <c r="O99" s="158">
        <f>IFERROR(1-SUMIF('Plant BD'!$H:$H,$A99,'Plant BD'!AC:AC)/$F99,"")</f>
        <v>1</v>
      </c>
      <c r="P99" s="158"/>
      <c r="Q99" s="159"/>
      <c r="R99" s="158">
        <f>IFERROR(1-SUMIF('Grid BD'!$H:$H,$A99,'Grid BD'!AB:AB)/$F99,"")</f>
        <v>1</v>
      </c>
      <c r="T99" s="159">
        <f>IFERROR(1-SUMIF(Tracker_BD!$H:$H,$A99,Tracker_BD!AI:AI)/$F99,"")</f>
        <v>0.98597793349314644</v>
      </c>
      <c r="U99" s="160">
        <f t="shared" si="5"/>
        <v>0.7486105174541946</v>
      </c>
      <c r="V99" s="160"/>
      <c r="W99" s="161">
        <f t="shared" si="6"/>
        <v>0.16388331911268075</v>
      </c>
      <c r="X99" s="156">
        <f>IFERROR(_xlfn.XLOOKUP($A99,'Raw Data'!$G:$G,'Raw Data'!$AB:$AB),"")</f>
        <v>46331</v>
      </c>
      <c r="Y99" s="156">
        <f>IFERROR(_xlfn.XLOOKUP($A99,'Raw Data'!$G:$G,'Raw Data'!AC:AC),"")</f>
        <v>46278.500000014901</v>
      </c>
      <c r="Z99" s="156">
        <f>IFERROR(_xlfn.XLOOKUP($A99,'Raw Data'!$G:$G,'Raw Data'!AD:AD),"")</f>
        <v>181.4000000000533</v>
      </c>
      <c r="AA99" s="156">
        <f>IFERROR(_xlfn.XLOOKUP($A99,'Raw Data'!$G:$G,'Raw Data'!AE:AE),"")</f>
        <v>46097.100000014849</v>
      </c>
      <c r="AB99" s="156">
        <f>IFERROR(_xlfn.XLOOKUP($A99,'Raw Data'!$G:$G,'Raw Data'!$H:$H),"")</f>
        <v>11.72</v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>
        <f>IFERROR(_xlfn.XLOOKUP($A100,'Raw Data'!$G:$G,'Raw Data'!$AH:$AH),"")</f>
        <v>12.683333333333334</v>
      </c>
      <c r="G100" s="131">
        <f>IFERROR(_xlfn.XLOOKUP($A100,'Raw Data'!$G:$G,'Raw Data'!$S:$S)/1000,"")</f>
        <v>0</v>
      </c>
      <c r="H100" s="131"/>
      <c r="I100" s="131">
        <f>IFERROR(_xlfn.XLOOKUP($A100,'Raw Data'!$G:$G,'Raw Data'!$AF:$AF)/1000,"")</f>
        <v>5.5359999999999996</v>
      </c>
      <c r="J100" s="131"/>
      <c r="K100" s="131">
        <f>IFERROR(_xlfn.XLOOKUP($A100,'Raw Data'!$G:$G,'Raw Data'!W:W),"")</f>
        <v>23</v>
      </c>
      <c r="L100" s="131">
        <f>IFERROR(_xlfn.XLOOKUP($A100,'Raw Data'!$G:$G,'Raw Data'!X:X),"")</f>
        <v>35</v>
      </c>
      <c r="M100" s="131">
        <f>IFERROR(_xlfn.XLOOKUP($A100,'Raw Data'!$G:$G,'Raw Data'!Y:Y),"")</f>
        <v>5</v>
      </c>
      <c r="N100" s="131">
        <f>IFERROR(_xlfn.XLOOKUP($A100,'Raw Data'!$G:$G,'Raw Data'!Z:Z),"")</f>
        <v>10</v>
      </c>
      <c r="O100" s="158">
        <f>IFERROR(1-SUMIF('Plant BD'!$H:$H,$A100,'Plant BD'!AC:AC)/$F100,"")</f>
        <v>1</v>
      </c>
      <c r="P100" s="158"/>
      <c r="Q100" s="159"/>
      <c r="R100" s="158">
        <f>IFERROR(1-SUMIF('Grid BD'!$H:$H,$A100,'Grid BD'!AB:AB)/$F100,"")</f>
        <v>1</v>
      </c>
      <c r="T100" s="159">
        <f>IFERROR(1-SUMIF(Tracker_BD!$H:$H,$A100,Tracker_BD!AI:AI)/$F100,"")</f>
        <v>0.98610418837887237</v>
      </c>
      <c r="U100" s="160">
        <f t="shared" si="5"/>
        <v>0.75399895687412299</v>
      </c>
      <c r="V100" s="160"/>
      <c r="W100" s="161">
        <f t="shared" si="6"/>
        <v>0.17392242605229766</v>
      </c>
      <c r="X100" s="156">
        <f>IFERROR(_xlfn.XLOOKUP($A100,'Raw Data'!$G:$G,'Raw Data'!$AB:$AB),"")</f>
        <v>49145</v>
      </c>
      <c r="Y100" s="156">
        <f>IFERROR(_xlfn.XLOOKUP($A100,'Raw Data'!$G:$G,'Raw Data'!AC:AC),"")</f>
        <v>49076.999999990221</v>
      </c>
      <c r="Z100" s="156">
        <f>IFERROR(_xlfn.XLOOKUP($A100,'Raw Data'!$G:$G,'Raw Data'!AD:AD),"")</f>
        <v>156.09999999992397</v>
      </c>
      <c r="AA100" s="156">
        <f>IFERROR(_xlfn.XLOOKUP($A100,'Raw Data'!$G:$G,'Raw Data'!AE:AE),"")</f>
        <v>48920.899999990295</v>
      </c>
      <c r="AB100" s="156">
        <f>IFERROR(_xlfn.XLOOKUP($A100,'Raw Data'!$G:$G,'Raw Data'!$H:$H),"")</f>
        <v>11.72</v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>
        <f>IFERROR(_xlfn.XLOOKUP($A101,'Raw Data'!$G:$G,'Raw Data'!$AH:$AH),"")</f>
        <v>12.416666666666668</v>
      </c>
      <c r="G101" s="131">
        <f>IFERROR(_xlfn.XLOOKUP($A101,'Raw Data'!$G:$G,'Raw Data'!$S:$S)/1000,"")</f>
        <v>0</v>
      </c>
      <c r="H101" s="131"/>
      <c r="I101" s="131">
        <f>IFERROR(_xlfn.XLOOKUP($A101,'Raw Data'!$G:$G,'Raw Data'!$AF:$AF)/1000,"")</f>
        <v>5.84</v>
      </c>
      <c r="J101" s="131"/>
      <c r="K101" s="131">
        <f>IFERROR(_xlfn.XLOOKUP($A101,'Raw Data'!$G:$G,'Raw Data'!W:W),"")</f>
        <v>23</v>
      </c>
      <c r="L101" s="131">
        <f>IFERROR(_xlfn.XLOOKUP($A101,'Raw Data'!$G:$G,'Raw Data'!X:X),"")</f>
        <v>36.5</v>
      </c>
      <c r="M101" s="131">
        <f>IFERROR(_xlfn.XLOOKUP($A101,'Raw Data'!$G:$G,'Raw Data'!Y:Y),"")</f>
        <v>5</v>
      </c>
      <c r="N101" s="131">
        <f>IFERROR(_xlfn.XLOOKUP($A101,'Raw Data'!$G:$G,'Raw Data'!Z:Z),"")</f>
        <v>10</v>
      </c>
      <c r="O101" s="158">
        <f>IFERROR(1-SUMIF('Plant BD'!$H:$H,$A101,'Plant BD'!AC:AC)/$F101,"")</f>
        <v>1</v>
      </c>
      <c r="P101" s="158"/>
      <c r="Q101" s="159"/>
      <c r="R101" s="158">
        <f>IFERROR(1-SUMIF('Grid BD'!$H:$H,$A101,'Grid BD'!AB:AB)/$F101,"")</f>
        <v>1</v>
      </c>
      <c r="T101" s="159">
        <f>IFERROR(1-SUMIF(Tracker_BD!$H:$H,$A101,Tracker_BD!AI:AI)/$F101,"")</f>
        <v>0.98611432538764177</v>
      </c>
      <c r="U101" s="160">
        <f t="shared" si="5"/>
        <v>0.74395425218572786</v>
      </c>
      <c r="V101" s="160"/>
      <c r="W101" s="161">
        <f t="shared" si="6"/>
        <v>0.18102886803186044</v>
      </c>
      <c r="X101" s="156">
        <f>IFERROR(_xlfn.XLOOKUP($A101,'Raw Data'!$G:$G,'Raw Data'!$AB:$AB),"")</f>
        <v>51112</v>
      </c>
      <c r="Y101" s="156">
        <f>IFERROR(_xlfn.XLOOKUP($A101,'Raw Data'!$G:$G,'Raw Data'!AC:AC),"")</f>
        <v>51094.40000000177</v>
      </c>
      <c r="Z101" s="156">
        <f>IFERROR(_xlfn.XLOOKUP($A101,'Raw Data'!$G:$G,'Raw Data'!AD:AD),"")</f>
        <v>174.60000000005493</v>
      </c>
      <c r="AA101" s="156">
        <f>IFERROR(_xlfn.XLOOKUP($A101,'Raw Data'!$G:$G,'Raw Data'!AE:AE),"")</f>
        <v>50919.800000001713</v>
      </c>
      <c r="AB101" s="156">
        <f>IFERROR(_xlfn.XLOOKUP($A101,'Raw Data'!$G:$G,'Raw Data'!$H:$H),"")</f>
        <v>11.72</v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>
        <f>IFERROR(_xlfn.XLOOKUP($A102,'Raw Data'!$G:$G,'Raw Data'!$AH:$AH),"")</f>
        <v>12.516666666666667</v>
      </c>
      <c r="G102" s="131">
        <f>IFERROR(_xlfn.XLOOKUP($A102,'Raw Data'!$G:$G,'Raw Data'!$S:$S)/1000,"")</f>
        <v>0</v>
      </c>
      <c r="H102" s="131"/>
      <c r="I102" s="131">
        <f>IFERROR(_xlfn.XLOOKUP($A102,'Raw Data'!$G:$G,'Raw Data'!$AF:$AF)/1000,"")</f>
        <v>2.2000000000000002</v>
      </c>
      <c r="J102" s="131"/>
      <c r="K102" s="131">
        <f>IFERROR(_xlfn.XLOOKUP($A102,'Raw Data'!$G:$G,'Raw Data'!W:W),"")</f>
        <v>23</v>
      </c>
      <c r="L102" s="131">
        <f>IFERROR(_xlfn.XLOOKUP($A102,'Raw Data'!$G:$G,'Raw Data'!X:X),"")</f>
        <v>29</v>
      </c>
      <c r="M102" s="131">
        <f>IFERROR(_xlfn.XLOOKUP($A102,'Raw Data'!$G:$G,'Raw Data'!Y:Y),"")</f>
        <v>3.5</v>
      </c>
      <c r="N102" s="131">
        <f>IFERROR(_xlfn.XLOOKUP($A102,'Raw Data'!$G:$G,'Raw Data'!Z:Z),"")</f>
        <v>6</v>
      </c>
      <c r="O102" s="158">
        <f>IFERROR(1-SUMIF('Plant BD'!$H:$H,$A102,'Plant BD'!AC:AC)/$F102,"")</f>
        <v>1</v>
      </c>
      <c r="P102" s="158"/>
      <c r="Q102" s="159"/>
      <c r="R102" s="158">
        <f>IFERROR(1-SUMIF('Grid BD'!$H:$H,$A102,'Grid BD'!AB:AB)/$F102,"")</f>
        <v>1</v>
      </c>
      <c r="T102" s="159">
        <f>IFERROR(1-SUMIF(Tracker_BD!$H:$H,$A102,Tracker_BD!AI:AI)/$F102,"")</f>
        <v>0.98620613128855017</v>
      </c>
      <c r="U102" s="160">
        <f t="shared" si="5"/>
        <v>0.84048634812281919</v>
      </c>
      <c r="V102" s="160"/>
      <c r="W102" s="161">
        <f t="shared" si="6"/>
        <v>7.7044581911258417E-2</v>
      </c>
      <c r="X102" s="156">
        <f>IFERROR(_xlfn.XLOOKUP($A102,'Raw Data'!$G:$G,'Raw Data'!$AB:$AB),"")</f>
        <v>21891</v>
      </c>
      <c r="Y102" s="156">
        <f>IFERROR(_xlfn.XLOOKUP($A102,'Raw Data'!$G:$G,'Raw Data'!AC:AC),"")</f>
        <v>21847.399999998743</v>
      </c>
      <c r="Z102" s="156">
        <f>IFERROR(_xlfn.XLOOKUP($A102,'Raw Data'!$G:$G,'Raw Data'!AD:AD),"")</f>
        <v>176.29999999996926</v>
      </c>
      <c r="AA102" s="156">
        <f>IFERROR(_xlfn.XLOOKUP($A102,'Raw Data'!$G:$G,'Raw Data'!AE:AE),"")</f>
        <v>21671.099999998773</v>
      </c>
      <c r="AB102" s="156">
        <f>IFERROR(_xlfn.XLOOKUP($A102,'Raw Data'!$G:$G,'Raw Data'!$H:$H),"")</f>
        <v>11.72</v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>
        <f>IFERROR(_xlfn.XLOOKUP($A103,'Raw Data'!$G:$G,'Raw Data'!$AH:$AH),"")</f>
        <v>12.499999999999998</v>
      </c>
      <c r="G103" s="131">
        <f>IFERROR(_xlfn.XLOOKUP($A103,'Raw Data'!$G:$G,'Raw Data'!$S:$S)/1000,"")</f>
        <v>0</v>
      </c>
      <c r="H103" s="131"/>
      <c r="I103" s="131">
        <f>IFERROR(_xlfn.XLOOKUP($A103,'Raw Data'!$G:$G,'Raw Data'!$AF:$AF)/1000,"")</f>
        <v>3.411</v>
      </c>
      <c r="J103" s="131"/>
      <c r="K103" s="131">
        <f>IFERROR(_xlfn.XLOOKUP($A103,'Raw Data'!$G:$G,'Raw Data'!W:W),"")</f>
        <v>23</v>
      </c>
      <c r="L103" s="131">
        <f>IFERROR(_xlfn.XLOOKUP($A103,'Raw Data'!$G:$G,'Raw Data'!X:X),"")</f>
        <v>30.7</v>
      </c>
      <c r="M103" s="131">
        <f>IFERROR(_xlfn.XLOOKUP($A103,'Raw Data'!$G:$G,'Raw Data'!Y:Y),"")</f>
        <v>4.7</v>
      </c>
      <c r="N103" s="131">
        <f>IFERROR(_xlfn.XLOOKUP($A103,'Raw Data'!$G:$G,'Raw Data'!Z:Z),"")</f>
        <v>7.7</v>
      </c>
      <c r="O103" s="158">
        <f>IFERROR(1-SUMIF('Plant BD'!$H:$H,$A103,'Plant BD'!AC:AC)/$F103,"")</f>
        <v>1</v>
      </c>
      <c r="P103" s="158"/>
      <c r="Q103" s="159"/>
      <c r="R103" s="158">
        <f>IFERROR(1-SUMIF('Grid BD'!$H:$H,$A103,'Grid BD'!AB:AB)/$F103,"")</f>
        <v>1</v>
      </c>
      <c r="T103" s="159">
        <f>IFERROR(1-SUMIF(Tracker_BD!$H:$H,$A103,Tracker_BD!AI:AI)/$F103,"")</f>
        <v>0.98614942528735627</v>
      </c>
      <c r="U103" s="160">
        <f t="shared" si="5"/>
        <v>0.79564658808153621</v>
      </c>
      <c r="V103" s="160"/>
      <c r="W103" s="161">
        <f t="shared" si="6"/>
        <v>0.11308127133108832</v>
      </c>
      <c r="X103" s="156">
        <f>IFERROR(_xlfn.XLOOKUP($A103,'Raw Data'!$G:$G,'Raw Data'!$AB:$AB),"")</f>
        <v>32028</v>
      </c>
      <c r="Y103" s="156">
        <f>IFERROR(_xlfn.XLOOKUP($A103,'Raw Data'!$G:$G,'Raw Data'!AC:AC),"")</f>
        <v>31986.700000008568</v>
      </c>
      <c r="Z103" s="156">
        <f>IFERROR(_xlfn.XLOOKUP($A103,'Raw Data'!$G:$G,'Raw Data'!AD:AD),"")</f>
        <v>179.20000000003711</v>
      </c>
      <c r="AA103" s="156">
        <f>IFERROR(_xlfn.XLOOKUP($A103,'Raw Data'!$G:$G,'Raw Data'!AE:AE),"")</f>
        <v>31807.500000008531</v>
      </c>
      <c r="AB103" s="156">
        <f>IFERROR(_xlfn.XLOOKUP($A103,'Raw Data'!$G:$G,'Raw Data'!$H:$H),"")</f>
        <v>11.72</v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>
        <f>IFERROR(_xlfn.XLOOKUP($A104,'Raw Data'!$G:$G,'Raw Data'!$AH:$AH),"")</f>
        <v>12.316666666666668</v>
      </c>
      <c r="G104" s="131">
        <f>IFERROR(_xlfn.XLOOKUP($A104,'Raw Data'!$G:$G,'Raw Data'!$S:$S)/1000,"")</f>
        <v>0</v>
      </c>
      <c r="H104" s="131"/>
      <c r="I104" s="131">
        <f>IFERROR(_xlfn.XLOOKUP($A104,'Raw Data'!$G:$G,'Raw Data'!$AF:$AF)/1000,"")</f>
        <v>3.7989999999999999</v>
      </c>
      <c r="J104" s="131"/>
      <c r="K104" s="131">
        <f>IFERROR(_xlfn.XLOOKUP($A104,'Raw Data'!$G:$G,'Raw Data'!W:W),"")</f>
        <v>23</v>
      </c>
      <c r="L104" s="131">
        <f>IFERROR(_xlfn.XLOOKUP($A104,'Raw Data'!$G:$G,'Raw Data'!X:X),"")</f>
        <v>32</v>
      </c>
      <c r="M104" s="131">
        <f>IFERROR(_xlfn.XLOOKUP($A104,'Raw Data'!$G:$G,'Raw Data'!Y:Y),"")</f>
        <v>3</v>
      </c>
      <c r="N104" s="131">
        <f>IFERROR(_xlfn.XLOOKUP($A104,'Raw Data'!$G:$G,'Raw Data'!Z:Z),"")</f>
        <v>7</v>
      </c>
      <c r="O104" s="158">
        <f>IFERROR(1-SUMIF('Plant BD'!$H:$H,$A104,'Plant BD'!AC:AC)/$F104,"")</f>
        <v>1</v>
      </c>
      <c r="P104" s="158"/>
      <c r="Q104" s="159"/>
      <c r="R104" s="158">
        <f>IFERROR(1-SUMIF('Grid BD'!$H:$H,$A104,'Grid BD'!AB:AB)/$F104,"")</f>
        <v>1</v>
      </c>
      <c r="T104" s="159">
        <f>IFERROR(1-SUMIF(Tracker_BD!$H:$H,$A104,Tracker_BD!AI:AI)/$F104,"")</f>
        <v>0.9859627020048839</v>
      </c>
      <c r="U104" s="160">
        <f t="shared" si="5"/>
        <v>0.78323108200707581</v>
      </c>
      <c r="V104" s="160"/>
      <c r="W104" s="161">
        <f t="shared" si="6"/>
        <v>0.12397895335603668</v>
      </c>
      <c r="X104" s="156">
        <f>IFERROR(_xlfn.XLOOKUP($A104,'Raw Data'!$G:$G,'Raw Data'!$AB:$AB),"")</f>
        <v>35111</v>
      </c>
      <c r="Y104" s="156">
        <f>IFERROR(_xlfn.XLOOKUP($A104,'Raw Data'!$G:$G,'Raw Data'!AC:AC),"")</f>
        <v>35052.399999985937</v>
      </c>
      <c r="Z104" s="156">
        <f>IFERROR(_xlfn.XLOOKUP($A104,'Raw Data'!$G:$G,'Raw Data'!AD:AD),"")</f>
        <v>179.5999999999367</v>
      </c>
      <c r="AA104" s="156">
        <f>IFERROR(_xlfn.XLOOKUP($A104,'Raw Data'!$G:$G,'Raw Data'!AE:AE),"")</f>
        <v>34872.799999986004</v>
      </c>
      <c r="AB104" s="156">
        <f>IFERROR(_xlfn.XLOOKUP($A104,'Raw Data'!$G:$G,'Raw Data'!$H:$H),"")</f>
        <v>11.72</v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>
        <f>IFERROR(_xlfn.XLOOKUP($A105,'Raw Data'!$G:$G,'Raw Data'!$AH:$AH),"")</f>
        <v>12.783333333333333</v>
      </c>
      <c r="G105" s="131">
        <f>IFERROR(_xlfn.XLOOKUP($A105,'Raw Data'!$G:$G,'Raw Data'!$S:$S)/1000,"")</f>
        <v>0</v>
      </c>
      <c r="H105" s="131"/>
      <c r="I105" s="131">
        <f>IFERROR(_xlfn.XLOOKUP($A105,'Raw Data'!$G:$G,'Raw Data'!$AF:$AF)/1000,"")</f>
        <v>5.343</v>
      </c>
      <c r="J105" s="131"/>
      <c r="K105" s="131">
        <f>IFERROR(_xlfn.XLOOKUP($A105,'Raw Data'!$G:$G,'Raw Data'!W:W),"")</f>
        <v>23</v>
      </c>
      <c r="L105" s="131">
        <f>IFERROR(_xlfn.XLOOKUP($A105,'Raw Data'!$G:$G,'Raw Data'!X:X),"")</f>
        <v>36</v>
      </c>
      <c r="M105" s="131">
        <f>IFERROR(_xlfn.XLOOKUP($A105,'Raw Data'!$G:$G,'Raw Data'!Y:Y),"")</f>
        <v>2</v>
      </c>
      <c r="N105" s="131">
        <f>IFERROR(_xlfn.XLOOKUP($A105,'Raw Data'!$G:$G,'Raw Data'!Z:Z),"")</f>
        <v>5</v>
      </c>
      <c r="O105" s="158">
        <f>IFERROR(1-SUMIF('Plant BD'!$H:$H,$A105,'Plant BD'!AC:AC)/$F105,"")</f>
        <v>1</v>
      </c>
      <c r="P105" s="158"/>
      <c r="Q105" s="159"/>
      <c r="R105" s="158">
        <f>IFERROR(1-SUMIF('Grid BD'!$H:$H,$A105,'Grid BD'!AB:AB)/$F105,"")</f>
        <v>1</v>
      </c>
      <c r="T105" s="159">
        <f>IFERROR(1-SUMIF(Tracker_BD!$H:$H,$A105,Tracker_BD!AI:AI)/$F105,"")</f>
        <v>0.98634401834284946</v>
      </c>
      <c r="U105" s="160">
        <f t="shared" si="5"/>
        <v>0.75226812664849363</v>
      </c>
      <c r="V105" s="160"/>
      <c r="W105" s="161">
        <f t="shared" si="6"/>
        <v>0.16747369169512089</v>
      </c>
      <c r="X105" s="156">
        <f>IFERROR(_xlfn.XLOOKUP($A105,'Raw Data'!$G:$G,'Raw Data'!$AB:$AB),"")</f>
        <v>47305</v>
      </c>
      <c r="Y105" s="156">
        <f>IFERROR(_xlfn.XLOOKUP($A105,'Raw Data'!$G:$G,'Raw Data'!AC:AC),"")</f>
        <v>47280.100000003586</v>
      </c>
      <c r="Z105" s="156">
        <f>IFERROR(_xlfn.XLOOKUP($A105,'Raw Data'!$G:$G,'Raw Data'!AD:AD),"")</f>
        <v>173.09999999997672</v>
      </c>
      <c r="AA105" s="156">
        <f>IFERROR(_xlfn.XLOOKUP($A105,'Raw Data'!$G:$G,'Raw Data'!AE:AE),"")</f>
        <v>47107.000000003609</v>
      </c>
      <c r="AB105" s="156">
        <f>IFERROR(_xlfn.XLOOKUP($A105,'Raw Data'!$G:$G,'Raw Data'!$H:$H),"")</f>
        <v>11.72</v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>
        <f>IFERROR(_xlfn.XLOOKUP($A106,'Raw Data'!$G:$G,'Raw Data'!$AH:$AH),"")</f>
        <v>12.55</v>
      </c>
      <c r="G106" s="131">
        <f>IFERROR(_xlfn.XLOOKUP($A106,'Raw Data'!$G:$G,'Raw Data'!$S:$S)/1000,"")</f>
        <v>0</v>
      </c>
      <c r="H106" s="131"/>
      <c r="I106" s="131">
        <f>IFERROR(_xlfn.XLOOKUP($A106,'Raw Data'!$G:$G,'Raw Data'!$AF:$AF)/1000,"")</f>
        <v>6.0750000000000002</v>
      </c>
      <c r="J106" s="131"/>
      <c r="K106" s="131">
        <f>IFERROR(_xlfn.XLOOKUP($A106,'Raw Data'!$G:$G,'Raw Data'!W:W),"")</f>
        <v>24</v>
      </c>
      <c r="L106" s="131">
        <f>IFERROR(_xlfn.XLOOKUP($A106,'Raw Data'!$G:$G,'Raw Data'!X:X),"")</f>
        <v>38.5</v>
      </c>
      <c r="M106" s="131">
        <f>IFERROR(_xlfn.XLOOKUP($A106,'Raw Data'!$G:$G,'Raw Data'!Y:Y),"")</f>
        <v>2</v>
      </c>
      <c r="N106" s="131">
        <f>IFERROR(_xlfn.XLOOKUP($A106,'Raw Data'!$G:$G,'Raw Data'!Z:Z),"")</f>
        <v>5</v>
      </c>
      <c r="O106" s="158">
        <f>IFERROR(1-SUMIF('Plant BD'!$H:$H,$A106,'Plant BD'!AC:AC)/$F106,"")</f>
        <v>1</v>
      </c>
      <c r="P106" s="158"/>
      <c r="Q106" s="159"/>
      <c r="R106" s="158">
        <f>IFERROR(1-SUMIF('Grid BD'!$H:$H,$A106,'Grid BD'!AB:AB)/$F106,"")</f>
        <v>1</v>
      </c>
      <c r="T106" s="159">
        <f>IFERROR(1-SUMIF(Tracker_BD!$H:$H,$A106,Tracker_BD!AI:AI)/$F106,"")</f>
        <v>0.98610920303460492</v>
      </c>
      <c r="U106" s="160">
        <f t="shared" si="5"/>
        <v>0.7391325720866545</v>
      </c>
      <c r="V106" s="160"/>
      <c r="W106" s="161">
        <f t="shared" si="6"/>
        <v>0.18709293230943438</v>
      </c>
      <c r="X106" s="156">
        <f>IFERROR(_xlfn.XLOOKUP($A106,'Raw Data'!$G:$G,'Raw Data'!$AB:$AB),"")</f>
        <v>52773</v>
      </c>
      <c r="Y106" s="156">
        <f>IFERROR(_xlfn.XLOOKUP($A106,'Raw Data'!$G:$G,'Raw Data'!AC:AC),"")</f>
        <v>52805.099999997765</v>
      </c>
      <c r="Z106" s="156">
        <f>IFERROR(_xlfn.XLOOKUP($A106,'Raw Data'!$G:$G,'Raw Data'!AD:AD),"")</f>
        <v>179.60000000005039</v>
      </c>
      <c r="AA106" s="156">
        <f>IFERROR(_xlfn.XLOOKUP($A106,'Raw Data'!$G:$G,'Raw Data'!AE:AE),"")</f>
        <v>52625.499999997715</v>
      </c>
      <c r="AB106" s="156">
        <f>IFERROR(_xlfn.XLOOKUP($A106,'Raw Data'!$G:$G,'Raw Data'!$H:$H),"")</f>
        <v>11.72</v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>
        <f>IFERROR(_xlfn.XLOOKUP($A107,'Raw Data'!$G:$G,'Raw Data'!$AH:$AH),"")</f>
        <v>12.733333333333334</v>
      </c>
      <c r="G107" s="131">
        <f>IFERROR(_xlfn.XLOOKUP($A107,'Raw Data'!$G:$G,'Raw Data'!$S:$S)/1000,"")</f>
        <v>0</v>
      </c>
      <c r="H107" s="131"/>
      <c r="I107" s="131">
        <f>IFERROR(_xlfn.XLOOKUP($A107,'Raw Data'!$G:$G,'Raw Data'!$AF:$AF)/1000,"")</f>
        <v>6.5265000000000004</v>
      </c>
      <c r="J107" s="131"/>
      <c r="K107" s="131">
        <f>IFERROR(_xlfn.XLOOKUP($A107,'Raw Data'!$G:$G,'Raw Data'!W:W),"")</f>
        <v>24</v>
      </c>
      <c r="L107" s="131">
        <f>IFERROR(_xlfn.XLOOKUP($A107,'Raw Data'!$G:$G,'Raw Data'!X:X),"")</f>
        <v>39</v>
      </c>
      <c r="M107" s="131">
        <f>IFERROR(_xlfn.XLOOKUP($A107,'Raw Data'!$G:$G,'Raw Data'!Y:Y),"")</f>
        <v>3</v>
      </c>
      <c r="N107" s="131">
        <f>IFERROR(_xlfn.XLOOKUP($A107,'Raw Data'!$G:$G,'Raw Data'!Z:Z),"")</f>
        <v>5</v>
      </c>
      <c r="O107" s="158">
        <f>IFERROR(1-SUMIF('Plant BD'!$H:$H,$A107,'Plant BD'!AC:AC)/$F107,"")</f>
        <v>1</v>
      </c>
      <c r="P107" s="158"/>
      <c r="Q107" s="159"/>
      <c r="R107" s="158">
        <f>IFERROR(1-SUMIF('Grid BD'!$H:$H,$A107,'Grid BD'!AB:AB)/$F107,"")</f>
        <v>1</v>
      </c>
      <c r="T107" s="159">
        <f>IFERROR(1-SUMIF(Tracker_BD!$H:$H,$A107,Tracker_BD!AI:AI)/$F107,"")</f>
        <v>0.98629039537822716</v>
      </c>
      <c r="U107" s="160">
        <f t="shared" si="5"/>
        <v>0.71935132404560753</v>
      </c>
      <c r="V107" s="160"/>
      <c r="W107" s="161">
        <f t="shared" si="6"/>
        <v>0.19561860068265238</v>
      </c>
      <c r="X107" s="156">
        <f>IFERROR(_xlfn.XLOOKUP($A107,'Raw Data'!$G:$G,'Raw Data'!$AB:$AB),"")</f>
        <v>55062</v>
      </c>
      <c r="Y107" s="156">
        <f>IFERROR(_xlfn.XLOOKUP($A107,'Raw Data'!$G:$G,'Raw Data'!AC:AC),"")</f>
        <v>55041.400000016438</v>
      </c>
      <c r="Z107" s="156">
        <f>IFERROR(_xlfn.XLOOKUP($A107,'Raw Data'!$G:$G,'Raw Data'!AD:AD),"")</f>
        <v>17.799999999965621</v>
      </c>
      <c r="AA107" s="156">
        <f>IFERROR(_xlfn.XLOOKUP($A107,'Raw Data'!$G:$G,'Raw Data'!AE:AE),"")</f>
        <v>55023.600000016471</v>
      </c>
      <c r="AB107" s="156">
        <f>IFERROR(_xlfn.XLOOKUP($A107,'Raw Data'!$G:$G,'Raw Data'!$H:$H),"")</f>
        <v>11.72</v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>
        <f>IFERROR(_xlfn.XLOOKUP($A108,'Raw Data'!$G:$G,'Raw Data'!$AH:$AH),"")</f>
        <v>12.716666666666667</v>
      </c>
      <c r="G108" s="131">
        <f>IFERROR(_xlfn.XLOOKUP($A108,'Raw Data'!$G:$G,'Raw Data'!$S:$S)/1000,"")</f>
        <v>0</v>
      </c>
      <c r="H108" s="131"/>
      <c r="I108" s="131">
        <f>IFERROR(_xlfn.XLOOKUP($A108,'Raw Data'!$G:$G,'Raw Data'!$AF:$AF)/1000,"")</f>
        <v>6.1420000000000003</v>
      </c>
      <c r="J108" s="131"/>
      <c r="K108" s="131">
        <f>IFERROR(_xlfn.XLOOKUP($A108,'Raw Data'!$G:$G,'Raw Data'!W:W),"")</f>
        <v>24</v>
      </c>
      <c r="L108" s="131">
        <f>IFERROR(_xlfn.XLOOKUP($A108,'Raw Data'!$G:$G,'Raw Data'!X:X),"")</f>
        <v>39</v>
      </c>
      <c r="M108" s="131">
        <f>IFERROR(_xlfn.XLOOKUP($A108,'Raw Data'!$G:$G,'Raw Data'!Y:Y),"")</f>
        <v>3</v>
      </c>
      <c r="N108" s="131">
        <f>IFERROR(_xlfn.XLOOKUP($A108,'Raw Data'!$G:$G,'Raw Data'!Z:Z),"")</f>
        <v>5</v>
      </c>
      <c r="O108" s="158">
        <f>IFERROR(1-SUMIF('Plant BD'!$H:$H,$A108,'Plant BD'!AC:AC)/$F108,"")</f>
        <v>1</v>
      </c>
      <c r="P108" s="158"/>
      <c r="Q108" s="159"/>
      <c r="R108" s="158">
        <f>IFERROR(1-SUMIF('Grid BD'!$H:$H,$A108,'Grid BD'!AB:AB)/$F108,"")</f>
        <v>1</v>
      </c>
      <c r="T108" s="159">
        <f>IFERROR(1-SUMIF(Tracker_BD!$H:$H,$A108,Tracker_BD!AI:AI)/$F108,"")</f>
        <v>0.98621593528268636</v>
      </c>
      <c r="U108" s="160">
        <f t="shared" si="5"/>
        <v>0.72644512187646249</v>
      </c>
      <c r="V108" s="160"/>
      <c r="W108" s="161">
        <f t="shared" si="6"/>
        <v>0.18590941410688466</v>
      </c>
      <c r="X108" s="156">
        <f>IFERROR(_xlfn.XLOOKUP($A108,'Raw Data'!$G:$G,'Raw Data'!$AB:$AB),"")</f>
        <v>52510</v>
      </c>
      <c r="Y108" s="156">
        <f>IFERROR(_xlfn.XLOOKUP($A108,'Raw Data'!$G:$G,'Raw Data'!AC:AC),"")</f>
        <v>52500.89999998454</v>
      </c>
      <c r="Z108" s="156">
        <f>IFERROR(_xlfn.XLOOKUP($A108,'Raw Data'!$G:$G,'Raw Data'!AD:AD),"")</f>
        <v>208.30000000000837</v>
      </c>
      <c r="AA108" s="156">
        <f>IFERROR(_xlfn.XLOOKUP($A108,'Raw Data'!$G:$G,'Raw Data'!AE:AE),"")</f>
        <v>52292.59999998453</v>
      </c>
      <c r="AB108" s="156">
        <f>IFERROR(_xlfn.XLOOKUP($A108,'Raw Data'!$G:$G,'Raw Data'!$H:$H),"")</f>
        <v>11.72</v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 t="str">
        <f>IFERROR(_xlfn.XLOOKUP($A109,'Raw Data'!$G:$G,'Raw Data'!$AH:$AH),"")</f>
        <v/>
      </c>
      <c r="G109" s="131" t="str">
        <f>IFERROR(_xlfn.XLOOKUP($A109,'Raw Data'!$G:$G,'Raw Data'!$S:$S)/1000,"")</f>
        <v/>
      </c>
      <c r="H109" s="131"/>
      <c r="I109" s="131" t="str">
        <f>IFERROR(_xlfn.XLOOKUP($A109,'Raw Data'!$G:$G,'Raw Data'!$AF:$AF)/1000,"")</f>
        <v/>
      </c>
      <c r="J109" s="131"/>
      <c r="K109" s="131" t="str">
        <f>IFERROR(_xlfn.XLOOKUP($A109,'Raw Data'!$G:$G,'Raw Data'!W:W),"")</f>
        <v/>
      </c>
      <c r="L109" s="131" t="str">
        <f>IFERROR(_xlfn.XLOOKUP($A109,'Raw Data'!$G:$G,'Raw Data'!X:X),"")</f>
        <v/>
      </c>
      <c r="M109" s="131" t="str">
        <f>IFERROR(_xlfn.XLOOKUP($A109,'Raw Data'!$G:$G,'Raw Data'!Y:Y),"")</f>
        <v/>
      </c>
      <c r="N109" s="131" t="str">
        <f>IFERROR(_xlfn.XLOOKUP($A109,'Raw Data'!$G:$G,'Raw Data'!Z:Z),"")</f>
        <v/>
      </c>
      <c r="O109" s="158" t="str">
        <f>IFERROR(1-SUMIF('Plant BD'!$H:$H,$A109,'Plant BD'!AC:AC)/$F109,"")</f>
        <v/>
      </c>
      <c r="P109" s="158"/>
      <c r="Q109" s="159"/>
      <c r="R109" s="158" t="str">
        <f>IFERROR(1-SUMIF('Grid BD'!$H:$H,$A109,'Grid BD'!AB:AB)/$F109,"")</f>
        <v/>
      </c>
      <c r="T109" s="159" t="str">
        <f>IFERROR(1-SUMIF(Tracker_BD!$H:$H,$A109,Tracker_BD!AI:AI)/$F109,"")</f>
        <v/>
      </c>
      <c r="U109" s="160" t="str">
        <f t="shared" si="5"/>
        <v/>
      </c>
      <c r="V109" s="160"/>
      <c r="W109" s="161" t="str">
        <f t="shared" si="6"/>
        <v/>
      </c>
      <c r="X109" s="156" t="str">
        <f>IFERROR(_xlfn.XLOOKUP($A109,'Raw Data'!$G:$G,'Raw Data'!$AB:$AB),"")</f>
        <v/>
      </c>
      <c r="Y109" s="156" t="str">
        <f>IFERROR(_xlfn.XLOOKUP($A109,'Raw Data'!$G:$G,'Raw Data'!AC:AC),"")</f>
        <v/>
      </c>
      <c r="Z109" s="156" t="str">
        <f>IFERROR(_xlfn.XLOOKUP($A109,'Raw Data'!$G:$G,'Raw Data'!AD:AD),"")</f>
        <v/>
      </c>
      <c r="AA109" s="156" t="str">
        <f>IFERROR(_xlfn.XLOOKUP($A109,'Raw Data'!$G:$G,'Raw Data'!AE:AE),"")</f>
        <v/>
      </c>
      <c r="AB109" s="156" t="str">
        <f>IFERROR(_xlfn.XLOOKUP($A109,'Raw Data'!$G:$G,'Raw Data'!$H:$H),"")</f>
        <v/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 t="str">
        <f>IFERROR(_xlfn.XLOOKUP($A110,'Raw Data'!$G:$G,'Raw Data'!$AH:$AH),"")</f>
        <v/>
      </c>
      <c r="G110" s="131" t="str">
        <f>IFERROR(_xlfn.XLOOKUP($A110,'Raw Data'!$G:$G,'Raw Data'!$S:$S)/1000,"")</f>
        <v/>
      </c>
      <c r="H110" s="131"/>
      <c r="I110" s="131" t="str">
        <f>IFERROR(_xlfn.XLOOKUP($A110,'Raw Data'!$G:$G,'Raw Data'!$AF:$AF)/1000,"")</f>
        <v/>
      </c>
      <c r="J110" s="131"/>
      <c r="K110" s="131" t="str">
        <f>IFERROR(_xlfn.XLOOKUP($A110,'Raw Data'!$G:$G,'Raw Data'!W:W),"")</f>
        <v/>
      </c>
      <c r="L110" s="131" t="str">
        <f>IFERROR(_xlfn.XLOOKUP($A110,'Raw Data'!$G:$G,'Raw Data'!X:X),"")</f>
        <v/>
      </c>
      <c r="M110" s="131" t="str">
        <f>IFERROR(_xlfn.XLOOKUP($A110,'Raw Data'!$G:$G,'Raw Data'!Y:Y),"")</f>
        <v/>
      </c>
      <c r="N110" s="131" t="str">
        <f>IFERROR(_xlfn.XLOOKUP($A110,'Raw Data'!$G:$G,'Raw Data'!Z:Z),"")</f>
        <v/>
      </c>
      <c r="O110" s="158" t="str">
        <f>IFERROR(1-SUMIF('Plant BD'!$H:$H,$A110,'Plant BD'!AC:AC)/$F110,"")</f>
        <v/>
      </c>
      <c r="P110" s="158"/>
      <c r="Q110" s="159"/>
      <c r="R110" s="158" t="str">
        <f>IFERROR(1-SUMIF('Grid BD'!$H:$H,$A110,'Grid BD'!AB:AB)/$F110,"")</f>
        <v/>
      </c>
      <c r="T110" s="159" t="str">
        <f>IFERROR(1-SUMIF(Tracker_BD!$H:$H,$A110,Tracker_BD!AI:AI)/$F110,"")</f>
        <v/>
      </c>
      <c r="U110" s="160" t="str">
        <f t="shared" si="5"/>
        <v/>
      </c>
      <c r="V110" s="160"/>
      <c r="W110" s="161" t="str">
        <f t="shared" si="6"/>
        <v/>
      </c>
      <c r="X110" s="156" t="str">
        <f>IFERROR(_xlfn.XLOOKUP($A110,'Raw Data'!$G:$G,'Raw Data'!$AB:$AB),"")</f>
        <v/>
      </c>
      <c r="Y110" s="156" t="str">
        <f>IFERROR(_xlfn.XLOOKUP($A110,'Raw Data'!$G:$G,'Raw Data'!AC:AC),"")</f>
        <v/>
      </c>
      <c r="Z110" s="156" t="str">
        <f>IFERROR(_xlfn.XLOOKUP($A110,'Raw Data'!$G:$G,'Raw Data'!AD:AD),"")</f>
        <v/>
      </c>
      <c r="AA110" s="156" t="str">
        <f>IFERROR(_xlfn.XLOOKUP($A110,'Raw Data'!$G:$G,'Raw Data'!AE:AE),"")</f>
        <v/>
      </c>
      <c r="AB110" s="156" t="str">
        <f>IFERROR(_xlfn.XLOOKUP($A110,'Raw Data'!$G:$G,'Raw Data'!$H:$H),"")</f>
        <v/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110"/>
  <sheetViews>
    <sheetView zoomScale="98" zoomScaleNormal="98" workbookViewId="0">
      <pane xSplit="7" ySplit="3" topLeftCell="H98" activePane="bottomRight" state="frozen"/>
      <selection pane="topRight" activeCell="H1" sqref="H1"/>
      <selection pane="bottomLeft" activeCell="A4" sqref="A4"/>
      <selection pane="bottomRight" activeCell="C111" sqref="C111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110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623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7228.5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6900</v>
      </c>
      <c r="V73" s="2">
        <v>2084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6902.5</v>
      </c>
      <c r="AG73" s="2">
        <f>IFERROR(Raw_Data[[#This Row],[Avg. POA without Exclusion (W/m2)2]]-Raw_Data[[#This Row],[Avg. POA Lost (W/m2)]],"")</f>
        <v>4818.5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3305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3305</v>
      </c>
      <c r="AG82" s="2">
        <f>IFERROR(Raw_Data[[#This Row],[Avg. POA without Exclusion (W/m2)2]]-Raw_Data[[#This Row],[Avg. POA Lost (W/m2)]],"")</f>
        <v>2052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3659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3659</v>
      </c>
      <c r="AG83" s="2">
        <f>IFERROR(Raw_Data[[#This Row],[Avg. POA without Exclusion (W/m2)2]]-Raw_Data[[#This Row],[Avg. POA Lost (W/m2)]],"")</f>
        <v>3041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7055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7099.5</v>
      </c>
      <c r="AG84" s="2">
        <f>IFERROR(Raw_Data[[#This Row],[Avg. POA without Exclusion (W/m2)2]]-Raw_Data[[#This Row],[Avg. POA Lost (W/m2)]],"")</f>
        <v>7099.5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7485</v>
      </c>
      <c r="U88" s="2">
        <v>7485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7485</v>
      </c>
      <c r="AG88" s="2">
        <f>IFERROR(Raw_Data[[#This Row],[Avg. POA without Exclusion (W/m2)2]]-Raw_Data[[#This Row],[Avg. POA Lost (W/m2)]],"")</f>
        <v>7485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6933</v>
      </c>
      <c r="U89" s="2">
        <v>6933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6933</v>
      </c>
      <c r="AG89" s="2">
        <f>IFERROR(Raw_Data[[#This Row],[Avg. POA without Exclusion (W/m2)2]]-Raw_Data[[#This Row],[Avg. POA Lost (W/m2)]],"")</f>
        <v>6933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4910</v>
      </c>
      <c r="U90" s="2">
        <v>4865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4887.5</v>
      </c>
      <c r="AG90" s="2">
        <f>IFERROR(Raw_Data[[#This Row],[Avg. POA without Exclusion (W/m2)2]]-Raw_Data[[#This Row],[Avg. POA Lost (W/m2)]],"")</f>
        <v>4887.5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4114</v>
      </c>
      <c r="U91" s="2">
        <v>4114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4114</v>
      </c>
      <c r="AG91" s="2">
        <f>IFERROR(Raw_Data[[#This Row],[Avg. POA without Exclusion (W/m2)2]]-Raw_Data[[#This Row],[Avg. POA Lost (W/m2)]],"")</f>
        <v>4114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4854</v>
      </c>
      <c r="U92" s="2">
        <v>4798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4826</v>
      </c>
      <c r="AG92" s="2">
        <f>IFERROR(Raw_Data[[#This Row],[Avg. POA without Exclusion (W/m2)2]]-Raw_Data[[#This Row],[Avg. POA Lost (W/m2)]],"")</f>
        <v>4826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3723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3728</v>
      </c>
      <c r="AG93" s="2">
        <f>IFERROR(Raw_Data[[#This Row],[Avg. POA without Exclusion (W/m2)2]]-Raw_Data[[#This Row],[Avg. POA Lost (W/m2)]],"")</f>
        <v>3728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6314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6366.5</v>
      </c>
      <c r="AG94" s="2">
        <f>IFERROR(Raw_Data[[#This Row],[Avg. POA without Exclusion (W/m2)2]]-Raw_Data[[#This Row],[Avg. POA Lost (W/m2)]],"")</f>
        <v>6366.5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5742</v>
      </c>
      <c r="U95" s="2">
        <v>5748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5745</v>
      </c>
      <c r="AG95" s="2">
        <f>IFERROR(Raw_Data[[#This Row],[Avg. POA without Exclusion (W/m2)2]]-Raw_Data[[#This Row],[Avg. POA Lost (W/m2)]],"")</f>
        <v>5745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4010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4037.5</v>
      </c>
      <c r="AG96" s="2">
        <f>IFERROR(Raw_Data[[#This Row],[Avg. POA without Exclusion (W/m2)2]]-Raw_Data[[#This Row],[Avg. POA Lost (W/m2)]],"")</f>
        <v>4037.5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">
        <f>DAY(EOMONTH(Raw_Data[[#This Row],[Month Year]],0))</f>
        <v>30</v>
      </c>
      <c r="G97" s="63">
        <f t="shared" si="4"/>
        <v>45838</v>
      </c>
      <c r="H97" s="2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3528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">
        <f>SUM(Raw_Data[[#This Row],[IC1_Inv1]:[IC2_Inv2]])</f>
        <v>33217</v>
      </c>
      <c r="AC97" s="2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">
        <f>Raw_Data[[#This Row],[Export  (kWh)]]-Raw_Data[[#This Row],[Import (kWh)]]</f>
        <v>33049.99999998165</v>
      </c>
      <c r="AF97" s="2">
        <f>IFERROR(AVERAGE(Raw_Data[[#This Row],[POA1(Wh/m2)]:[POA2(Wh/m2)]]),"")</f>
        <v>3536</v>
      </c>
      <c r="AG97" s="2">
        <f>IFERROR(Raw_Data[[#This Row],[Avg. POA without Exclusion (W/m2)2]]-Raw_Data[[#This Row],[Avg. POA Lost (W/m2)]],"")</f>
        <v>3536</v>
      </c>
      <c r="AH97" s="35">
        <f t="shared" ref="AH97" si="75">IFERROR((J97-I97)*24,"")</f>
        <v>11.6</v>
      </c>
      <c r="AI97" s="2"/>
    </row>
    <row r="98" spans="1:35">
      <c r="A98" s="2">
        <f>YEAR(Raw_Data[[#This Row],[Date]])+IF(MONTH(Raw_Data[[#This Row],[Date]])&gt;=4,1,0)</f>
        <v>2026</v>
      </c>
      <c r="B98" s="2">
        <f>YEAR(Raw_Data[[#This Row],[Date]])</f>
        <v>2025</v>
      </c>
      <c r="C98" s="2" t="s">
        <v>155</v>
      </c>
      <c r="D98" s="2" t="s">
        <v>155</v>
      </c>
      <c r="E98" s="39">
        <v>45839</v>
      </c>
      <c r="F98" s="2">
        <f>DAY(EOMONTH(Raw_Data[[#This Row],[Month Year]],0))</f>
        <v>31</v>
      </c>
      <c r="G98" s="63">
        <f t="shared" si="4"/>
        <v>45839</v>
      </c>
      <c r="H98" s="2">
        <v>11.72</v>
      </c>
      <c r="I98" s="219">
        <v>0.25833333333333336</v>
      </c>
      <c r="J98" s="218">
        <v>0.77083333333333337</v>
      </c>
      <c r="K98" s="2">
        <v>3989</v>
      </c>
      <c r="L98" s="2">
        <v>4130</v>
      </c>
      <c r="M98" s="2">
        <v>3648</v>
      </c>
      <c r="N98" s="2">
        <v>3721</v>
      </c>
      <c r="O98" s="2">
        <v>3983</v>
      </c>
      <c r="P98" s="2">
        <v>4027</v>
      </c>
      <c r="Q98" s="2">
        <v>131749.84830000001</v>
      </c>
      <c r="R98" s="2">
        <v>566.85350000000005</v>
      </c>
      <c r="S98" s="2">
        <v>0</v>
      </c>
      <c r="T98" s="2">
        <v>2923</v>
      </c>
      <c r="U98" s="2">
        <v>2923</v>
      </c>
      <c r="V98" s="2">
        <v>506</v>
      </c>
      <c r="W98" s="2">
        <v>23</v>
      </c>
      <c r="X98" s="2">
        <v>30</v>
      </c>
      <c r="Y98" s="2">
        <v>4</v>
      </c>
      <c r="Z98" s="2">
        <v>10</v>
      </c>
      <c r="AA98" s="2">
        <v>0</v>
      </c>
      <c r="AB98" s="2">
        <f>SUM(Raw_Data[[#This Row],[IC1_Inv1]:[IC2_Inv2]])</f>
        <v>23498</v>
      </c>
      <c r="AC98" s="2">
        <f>IF(Raw_Data[[#This Row],[33 kV Outgoinng Export Reading]]-Q97&gt;0,Raw_Data[[#This Row],[33 kV Outgoinng Export Reading]]-Q97,0)*1000</f>
        <v>23489.500000025146</v>
      </c>
      <c r="AD98" s="2">
        <f>IF(Raw_Data[[#This Row],[33 kV Outgoinng Import Reading]]-R97&gt;0,Raw_Data[[#This Row],[33 kV Outgoinng Import Reading]]-R97,0)*1000</f>
        <v>169.70000000003438</v>
      </c>
      <c r="AE98" s="2">
        <f>Raw_Data[[#This Row],[Export  (kWh)]]-Raw_Data[[#This Row],[Import (kWh)]]</f>
        <v>23319.800000025112</v>
      </c>
      <c r="AF98" s="2">
        <f>IFERROR(AVERAGE(Raw_Data[[#This Row],[POA1(Wh/m2)]:[POA2(Wh/m2)]]),"")</f>
        <v>2923</v>
      </c>
      <c r="AG98" s="2">
        <f>IFERROR(Raw_Data[[#This Row],[Avg. POA without Exclusion (W/m2)2]]-Raw_Data[[#This Row],[Avg. POA Lost (W/m2)]],"")</f>
        <v>2417</v>
      </c>
      <c r="AH98" s="35">
        <f t="shared" ref="AH98" si="76">IFERROR((J98-I98)*24,"")</f>
        <v>12.299999999999999</v>
      </c>
      <c r="AI98" s="2"/>
    </row>
    <row r="99" spans="1:35">
      <c r="A99" s="2">
        <f>YEAR(Raw_Data[[#This Row],[Date]])+IF(MONTH(Raw_Data[[#This Row],[Date]])&gt;=4,1,0)</f>
        <v>2026</v>
      </c>
      <c r="B99" s="2">
        <f>YEAR(Raw_Data[[#This Row],[Date]])</f>
        <v>2025</v>
      </c>
      <c r="C99" s="2" t="s">
        <v>155</v>
      </c>
      <c r="D99" s="2" t="s">
        <v>155</v>
      </c>
      <c r="E99" s="39">
        <v>45839</v>
      </c>
      <c r="F99" s="2">
        <f>DAY(EOMONTH(Raw_Data[[#This Row],[Month Year]],0))</f>
        <v>31</v>
      </c>
      <c r="G99" s="63">
        <f t="shared" si="4"/>
        <v>45840</v>
      </c>
      <c r="H99" s="2">
        <v>11.72</v>
      </c>
      <c r="I99" s="219">
        <v>0.26319444444444445</v>
      </c>
      <c r="J99" s="218">
        <v>0.78333333333333333</v>
      </c>
      <c r="K99" s="2">
        <v>3170</v>
      </c>
      <c r="L99" s="2">
        <v>3277</v>
      </c>
      <c r="M99" s="2">
        <v>2894</v>
      </c>
      <c r="N99" s="2">
        <v>2948</v>
      </c>
      <c r="O99" s="2">
        <v>3208</v>
      </c>
      <c r="P99" s="2">
        <v>3233</v>
      </c>
      <c r="Q99" s="2">
        <v>131768.5233</v>
      </c>
      <c r="R99" s="2">
        <v>567.04060000000004</v>
      </c>
      <c r="S99" s="2">
        <v>0</v>
      </c>
      <c r="T99" s="2">
        <v>1862</v>
      </c>
      <c r="U99" s="2">
        <v>1862</v>
      </c>
      <c r="V99" s="2">
        <v>0</v>
      </c>
      <c r="W99" s="2">
        <v>23</v>
      </c>
      <c r="X99" s="2">
        <v>27.8</v>
      </c>
      <c r="Y99" s="2">
        <v>4</v>
      </c>
      <c r="Z99" s="2">
        <v>7</v>
      </c>
      <c r="AA99" s="2">
        <v>0</v>
      </c>
      <c r="AB99" s="2">
        <f>SUM(Raw_Data[[#This Row],[IC1_Inv1]:[IC2_Inv2]])</f>
        <v>18730</v>
      </c>
      <c r="AC99" s="2">
        <f>IF(Raw_Data[[#This Row],[33 kV Outgoinng Export Reading]]-Q98&gt;0,Raw_Data[[#This Row],[33 kV Outgoinng Export Reading]]-Q98,0)*1000</f>
        <v>18674.999999988358</v>
      </c>
      <c r="AD99" s="2">
        <f>IF(Raw_Data[[#This Row],[33 kV Outgoinng Import Reading]]-R98&gt;0,Raw_Data[[#This Row],[33 kV Outgoinng Import Reading]]-R98,0)*1000</f>
        <v>187.09999999998672</v>
      </c>
      <c r="AE99" s="2">
        <f>Raw_Data[[#This Row],[Export  (kWh)]]-Raw_Data[[#This Row],[Import (kWh)]]</f>
        <v>18487.899999988371</v>
      </c>
      <c r="AF99" s="2">
        <f>IFERROR(AVERAGE(Raw_Data[[#This Row],[POA1(Wh/m2)]:[POA2(Wh/m2)]]),"")</f>
        <v>1862</v>
      </c>
      <c r="AG99" s="2">
        <f>IFERROR(Raw_Data[[#This Row],[Avg. POA without Exclusion (W/m2)2]]-Raw_Data[[#This Row],[Avg. POA Lost (W/m2)]],"")</f>
        <v>1862</v>
      </c>
      <c r="AH99" s="35">
        <f t="shared" ref="AH99" si="77">IFERROR((J99-I99)*24,"")</f>
        <v>12.483333333333334</v>
      </c>
      <c r="AI99" s="2"/>
    </row>
    <row r="100" spans="1:35">
      <c r="A100" s="2">
        <f>YEAR(Raw_Data[[#This Row],[Date]])+IF(MONTH(Raw_Data[[#This Row],[Date]])&gt;=4,1,0)</f>
        <v>2026</v>
      </c>
      <c r="B100" s="2">
        <f>YEAR(Raw_Data[[#This Row],[Date]])</f>
        <v>2025</v>
      </c>
      <c r="C100" s="2" t="s">
        <v>155</v>
      </c>
      <c r="D100" s="2" t="s">
        <v>155</v>
      </c>
      <c r="E100" s="39">
        <v>45839</v>
      </c>
      <c r="F100" s="2">
        <f>DAY(EOMONTH(Raw_Data[[#This Row],[Month Year]],0))</f>
        <v>31</v>
      </c>
      <c r="G100" s="63">
        <f t="shared" si="4"/>
        <v>45841</v>
      </c>
      <c r="H100" s="2">
        <v>11.72</v>
      </c>
      <c r="I100" s="219">
        <v>0.25763888888888886</v>
      </c>
      <c r="J100" s="218">
        <v>0.77430555555555558</v>
      </c>
      <c r="K100" s="2">
        <v>4873</v>
      </c>
      <c r="L100" s="2">
        <v>4991</v>
      </c>
      <c r="M100" s="2">
        <v>4406</v>
      </c>
      <c r="N100" s="2">
        <v>4502</v>
      </c>
      <c r="O100" s="2">
        <v>4855</v>
      </c>
      <c r="P100" s="2">
        <v>4955</v>
      </c>
      <c r="Q100" s="2">
        <v>131797.04509999999</v>
      </c>
      <c r="R100" s="2">
        <v>567.2201</v>
      </c>
      <c r="S100" s="2">
        <v>0</v>
      </c>
      <c r="T100" s="2">
        <v>2941</v>
      </c>
      <c r="U100" s="2">
        <v>2941</v>
      </c>
      <c r="V100" s="2">
        <v>0</v>
      </c>
      <c r="W100" s="2">
        <v>23</v>
      </c>
      <c r="X100" s="2">
        <v>31</v>
      </c>
      <c r="Y100" s="2">
        <v>4</v>
      </c>
      <c r="Z100" s="2">
        <v>8</v>
      </c>
      <c r="AA100" s="2">
        <v>0</v>
      </c>
      <c r="AB100" s="2">
        <f>SUM(Raw_Data[[#This Row],[IC1_Inv1]:[IC2_Inv2]])</f>
        <v>28582</v>
      </c>
      <c r="AC100" s="2">
        <f>IF(Raw_Data[[#This Row],[33 kV Outgoinng Export Reading]]-Q99&gt;0,Raw_Data[[#This Row],[33 kV Outgoinng Export Reading]]-Q99,0)*1000</f>
        <v>28521.799999987707</v>
      </c>
      <c r="AD100" s="2">
        <f>IF(Raw_Data[[#This Row],[33 kV Outgoinng Import Reading]]-R99&gt;0,Raw_Data[[#This Row],[33 kV Outgoinng Import Reading]]-R99,0)*1000</f>
        <v>179.4999999999618</v>
      </c>
      <c r="AE100" s="2">
        <f>Raw_Data[[#This Row],[Export  (kWh)]]-Raw_Data[[#This Row],[Import (kWh)]]</f>
        <v>28342.299999987743</v>
      </c>
      <c r="AF100" s="2">
        <f>IFERROR(AVERAGE(Raw_Data[[#This Row],[POA1(Wh/m2)]:[POA2(Wh/m2)]]),"")</f>
        <v>2941</v>
      </c>
      <c r="AG100" s="2">
        <f>IFERROR(Raw_Data[[#This Row],[Avg. POA without Exclusion (W/m2)2]]-Raw_Data[[#This Row],[Avg. POA Lost (W/m2)]],"")</f>
        <v>2941</v>
      </c>
      <c r="AH100" s="35">
        <f t="shared" ref="AH100" si="78">IFERROR((J100-I100)*24,"")</f>
        <v>12.400000000000002</v>
      </c>
      <c r="AI100" s="2"/>
    </row>
    <row r="101" spans="1:35">
      <c r="A101" s="2">
        <f>YEAR(Raw_Data[[#This Row],[Date]])+IF(MONTH(Raw_Data[[#This Row],[Date]])&gt;=4,1,0)</f>
        <v>2026</v>
      </c>
      <c r="B101" s="2">
        <f>YEAR(Raw_Data[[#This Row],[Date]])</f>
        <v>2025</v>
      </c>
      <c r="C101" s="2" t="s">
        <v>155</v>
      </c>
      <c r="D101" s="2" t="s">
        <v>155</v>
      </c>
      <c r="E101" s="39">
        <v>45839</v>
      </c>
      <c r="F101" s="2">
        <f>DAY(EOMONTH(Raw_Data[[#This Row],[Month Year]],0))</f>
        <v>31</v>
      </c>
      <c r="G101" s="63">
        <f t="shared" si="4"/>
        <v>45842</v>
      </c>
      <c r="H101" s="2">
        <v>11.72</v>
      </c>
      <c r="I101" s="219">
        <v>0.25347222222222221</v>
      </c>
      <c r="J101" s="218">
        <v>0.7729166666666667</v>
      </c>
      <c r="K101" s="2">
        <v>7804</v>
      </c>
      <c r="L101" s="2">
        <v>7958</v>
      </c>
      <c r="M101" s="2">
        <v>7034</v>
      </c>
      <c r="N101" s="2">
        <v>7349</v>
      </c>
      <c r="O101" s="2">
        <v>8022</v>
      </c>
      <c r="P101" s="2">
        <v>8164</v>
      </c>
      <c r="Q101" s="2">
        <v>131843.3236</v>
      </c>
      <c r="R101" s="2">
        <v>567.40150000000006</v>
      </c>
      <c r="S101" s="2">
        <v>0</v>
      </c>
      <c r="T101" s="2">
        <v>5254</v>
      </c>
      <c r="U101" s="2">
        <v>5254</v>
      </c>
      <c r="V101" s="2">
        <v>0</v>
      </c>
      <c r="W101" s="2">
        <v>23</v>
      </c>
      <c r="X101" s="2">
        <v>36</v>
      </c>
      <c r="Y101" s="2">
        <v>4.7</v>
      </c>
      <c r="Z101" s="2">
        <v>8</v>
      </c>
      <c r="AA101" s="2">
        <v>0</v>
      </c>
      <c r="AB101" s="2">
        <f>SUM(Raw_Data[[#This Row],[IC1_Inv1]:[IC2_Inv2]])</f>
        <v>46331</v>
      </c>
      <c r="AC101" s="2">
        <f>IF(Raw_Data[[#This Row],[33 kV Outgoinng Export Reading]]-Q100&gt;0,Raw_Data[[#This Row],[33 kV Outgoinng Export Reading]]-Q100,0)*1000</f>
        <v>46278.500000014901</v>
      </c>
      <c r="AD101" s="2">
        <f>IF(Raw_Data[[#This Row],[33 kV Outgoinng Import Reading]]-R100&gt;0,Raw_Data[[#This Row],[33 kV Outgoinng Import Reading]]-R100,0)*1000</f>
        <v>181.4000000000533</v>
      </c>
      <c r="AE101" s="2">
        <f>Raw_Data[[#This Row],[Export  (kWh)]]-Raw_Data[[#This Row],[Import (kWh)]]</f>
        <v>46097.100000014849</v>
      </c>
      <c r="AF101" s="2">
        <f>IFERROR(AVERAGE(Raw_Data[[#This Row],[POA1(Wh/m2)]:[POA2(Wh/m2)]]),"")</f>
        <v>5254</v>
      </c>
      <c r="AG101" s="2">
        <f>IFERROR(Raw_Data[[#This Row],[Avg. POA without Exclusion (W/m2)2]]-Raw_Data[[#This Row],[Avg. POA Lost (W/m2)]],"")</f>
        <v>5254</v>
      </c>
      <c r="AH101" s="35">
        <f t="shared" ref="AH101" si="79">IFERROR((J101-I101)*24,"")</f>
        <v>12.466666666666669</v>
      </c>
      <c r="AI101" s="2"/>
    </row>
    <row r="102" spans="1:35">
      <c r="A102" s="2">
        <f>YEAR(Raw_Data[[#This Row],[Date]])+IF(MONTH(Raw_Data[[#This Row],[Date]])&gt;=4,1,0)</f>
        <v>2026</v>
      </c>
      <c r="B102" s="2">
        <f>YEAR(Raw_Data[[#This Row],[Date]])</f>
        <v>2025</v>
      </c>
      <c r="C102" s="2" t="s">
        <v>155</v>
      </c>
      <c r="D102" s="2" t="s">
        <v>155</v>
      </c>
      <c r="E102" s="39">
        <v>45839</v>
      </c>
      <c r="F102" s="2">
        <f>DAY(EOMONTH(Raw_Data[[#This Row],[Month Year]],0))</f>
        <v>31</v>
      </c>
      <c r="G102" s="63">
        <f t="shared" si="4"/>
        <v>45843</v>
      </c>
      <c r="H102" s="2">
        <v>11.72</v>
      </c>
      <c r="I102" s="219">
        <v>0.24930555555555556</v>
      </c>
      <c r="J102" s="218">
        <v>0.77777777777777779</v>
      </c>
      <c r="K102" s="2">
        <v>8113</v>
      </c>
      <c r="L102" s="2">
        <v>8539</v>
      </c>
      <c r="M102" s="2">
        <v>7492</v>
      </c>
      <c r="N102" s="2">
        <v>7853</v>
      </c>
      <c r="O102" s="2">
        <v>8493</v>
      </c>
      <c r="P102" s="2">
        <v>8655</v>
      </c>
      <c r="Q102" s="2">
        <v>131892.40059999999</v>
      </c>
      <c r="R102" s="2">
        <v>567.55759999999998</v>
      </c>
      <c r="S102" s="2">
        <v>0</v>
      </c>
      <c r="T102" s="2">
        <v>5536</v>
      </c>
      <c r="U102" s="2">
        <v>5536</v>
      </c>
      <c r="V102" s="2">
        <v>0</v>
      </c>
      <c r="W102" s="2">
        <v>23</v>
      </c>
      <c r="X102" s="2">
        <v>35</v>
      </c>
      <c r="Y102" s="2">
        <v>5</v>
      </c>
      <c r="Z102" s="2">
        <v>10</v>
      </c>
      <c r="AA102" s="2">
        <v>0</v>
      </c>
      <c r="AB102" s="2">
        <f>SUM(Raw_Data[[#This Row],[IC1_Inv1]:[IC2_Inv2]])</f>
        <v>49145</v>
      </c>
      <c r="AC102" s="2">
        <f>IF(Raw_Data[[#This Row],[33 kV Outgoinng Export Reading]]-Q101&gt;0,Raw_Data[[#This Row],[33 kV Outgoinng Export Reading]]-Q101,0)*1000</f>
        <v>49076.999999990221</v>
      </c>
      <c r="AD102" s="2">
        <f>IF(Raw_Data[[#This Row],[33 kV Outgoinng Import Reading]]-R101&gt;0,Raw_Data[[#This Row],[33 kV Outgoinng Import Reading]]-R101,0)*1000</f>
        <v>156.09999999992397</v>
      </c>
      <c r="AE102" s="2">
        <f>Raw_Data[[#This Row],[Export  (kWh)]]-Raw_Data[[#This Row],[Import (kWh)]]</f>
        <v>48920.899999990295</v>
      </c>
      <c r="AF102" s="2">
        <f>IFERROR(AVERAGE(Raw_Data[[#This Row],[POA1(Wh/m2)]:[POA2(Wh/m2)]]),"")</f>
        <v>5536</v>
      </c>
      <c r="AG102" s="2">
        <f>IFERROR(Raw_Data[[#This Row],[Avg. POA without Exclusion (W/m2)2]]-Raw_Data[[#This Row],[Avg. POA Lost (W/m2)]],"")</f>
        <v>5536</v>
      </c>
      <c r="AH102" s="35">
        <f t="shared" ref="AH102" si="80">IFERROR((J102-I102)*24,"")</f>
        <v>12.683333333333334</v>
      </c>
      <c r="AI102" s="2"/>
    </row>
    <row r="103" spans="1:35">
      <c r="A103" s="2">
        <f>YEAR(Raw_Data[[#This Row],[Date]])+IF(MONTH(Raw_Data[[#This Row],[Date]])&gt;=4,1,0)</f>
        <v>2026</v>
      </c>
      <c r="B103" s="2">
        <f>YEAR(Raw_Data[[#This Row],[Date]])</f>
        <v>2025</v>
      </c>
      <c r="C103" s="2" t="s">
        <v>155</v>
      </c>
      <c r="D103" s="2" t="s">
        <v>155</v>
      </c>
      <c r="E103" s="39">
        <v>45839</v>
      </c>
      <c r="F103" s="2">
        <f>DAY(EOMONTH(Raw_Data[[#This Row],[Month Year]],0))</f>
        <v>31</v>
      </c>
      <c r="G103" s="63">
        <f t="shared" si="4"/>
        <v>45844</v>
      </c>
      <c r="H103" s="2">
        <v>11.72</v>
      </c>
      <c r="I103" s="219">
        <v>0.26041666666666669</v>
      </c>
      <c r="J103" s="218">
        <v>0.77777777777777779</v>
      </c>
      <c r="K103" s="2">
        <v>8647</v>
      </c>
      <c r="L103" s="2">
        <v>8894</v>
      </c>
      <c r="M103" s="2">
        <v>7737</v>
      </c>
      <c r="N103" s="2">
        <v>8141</v>
      </c>
      <c r="O103" s="2">
        <v>8827</v>
      </c>
      <c r="P103" s="2">
        <v>8866</v>
      </c>
      <c r="Q103" s="2">
        <v>131943.495</v>
      </c>
      <c r="R103" s="2">
        <v>567.73220000000003</v>
      </c>
      <c r="S103" s="2">
        <v>0</v>
      </c>
      <c r="T103" s="2">
        <v>5840</v>
      </c>
      <c r="U103" s="2">
        <v>5840</v>
      </c>
      <c r="V103" s="2">
        <v>0</v>
      </c>
      <c r="W103" s="2">
        <v>23</v>
      </c>
      <c r="X103" s="2">
        <v>36.5</v>
      </c>
      <c r="Y103" s="2">
        <v>5</v>
      </c>
      <c r="Z103" s="2">
        <v>10</v>
      </c>
      <c r="AA103" s="2">
        <v>0</v>
      </c>
      <c r="AB103" s="2">
        <f>SUM(Raw_Data[[#This Row],[IC1_Inv1]:[IC2_Inv2]])</f>
        <v>51112</v>
      </c>
      <c r="AC103" s="2">
        <f>IF(Raw_Data[[#This Row],[33 kV Outgoinng Export Reading]]-Q102&gt;0,Raw_Data[[#This Row],[33 kV Outgoinng Export Reading]]-Q102,0)*1000</f>
        <v>51094.40000000177</v>
      </c>
      <c r="AD103" s="2">
        <f>IF(Raw_Data[[#This Row],[33 kV Outgoinng Import Reading]]-R102&gt;0,Raw_Data[[#This Row],[33 kV Outgoinng Import Reading]]-R102,0)*1000</f>
        <v>174.60000000005493</v>
      </c>
      <c r="AE103" s="2">
        <f>Raw_Data[[#This Row],[Export  (kWh)]]-Raw_Data[[#This Row],[Import (kWh)]]</f>
        <v>50919.800000001713</v>
      </c>
      <c r="AF103" s="2">
        <f>IFERROR(AVERAGE(Raw_Data[[#This Row],[POA1(Wh/m2)]:[POA2(Wh/m2)]]),"")</f>
        <v>5840</v>
      </c>
      <c r="AG103" s="2">
        <f>IFERROR(Raw_Data[[#This Row],[Avg. POA without Exclusion (W/m2)2]]-Raw_Data[[#This Row],[Avg. POA Lost (W/m2)]],"")</f>
        <v>5840</v>
      </c>
      <c r="AH103" s="35">
        <f t="shared" ref="AH103" si="81">IFERROR((J103-I103)*24,"")</f>
        <v>12.416666666666668</v>
      </c>
      <c r="AI103" s="2"/>
    </row>
    <row r="104" spans="1:35">
      <c r="A104" s="2">
        <f>YEAR(Raw_Data[[#This Row],[Date]])+IF(MONTH(Raw_Data[[#This Row],[Date]])&gt;=4,1,0)</f>
        <v>2026</v>
      </c>
      <c r="B104" s="2">
        <f>YEAR(Raw_Data[[#This Row],[Date]])</f>
        <v>2025</v>
      </c>
      <c r="C104" s="2" t="s">
        <v>155</v>
      </c>
      <c r="D104" s="2" t="s">
        <v>155</v>
      </c>
      <c r="E104" s="39">
        <v>45839</v>
      </c>
      <c r="F104" s="2">
        <f>DAY(EOMONTH(Raw_Data[[#This Row],[Month Year]],0))</f>
        <v>31</v>
      </c>
      <c r="G104" s="63">
        <f t="shared" si="4"/>
        <v>45845</v>
      </c>
      <c r="H104" s="2">
        <v>11.72</v>
      </c>
      <c r="I104" s="219">
        <v>0.25972222222222224</v>
      </c>
      <c r="J104" s="218">
        <v>0.78125</v>
      </c>
      <c r="K104" s="2">
        <v>3732</v>
      </c>
      <c r="L104" s="2">
        <v>3830</v>
      </c>
      <c r="M104" s="2">
        <v>3398</v>
      </c>
      <c r="N104" s="2">
        <v>3438</v>
      </c>
      <c r="O104" s="2">
        <v>3702</v>
      </c>
      <c r="P104" s="2">
        <v>3791</v>
      </c>
      <c r="Q104" s="2">
        <v>131965.34239999999</v>
      </c>
      <c r="R104" s="2">
        <v>567.9085</v>
      </c>
      <c r="S104" s="2">
        <v>0</v>
      </c>
      <c r="T104" s="2">
        <v>2200</v>
      </c>
      <c r="U104" s="2">
        <v>2200</v>
      </c>
      <c r="V104" s="2">
        <v>0</v>
      </c>
      <c r="W104" s="2">
        <v>23</v>
      </c>
      <c r="X104" s="2">
        <v>29</v>
      </c>
      <c r="Y104" s="2">
        <v>3.5</v>
      </c>
      <c r="Z104" s="2">
        <v>6</v>
      </c>
      <c r="AA104" s="2">
        <v>0</v>
      </c>
      <c r="AB104" s="2">
        <f>SUM(Raw_Data[[#This Row],[IC1_Inv1]:[IC2_Inv2]])</f>
        <v>21891</v>
      </c>
      <c r="AC104" s="2">
        <f>IF(Raw_Data[[#This Row],[33 kV Outgoinng Export Reading]]-Q103&gt;0,Raw_Data[[#This Row],[33 kV Outgoinng Export Reading]]-Q103,0)*1000</f>
        <v>21847.399999998743</v>
      </c>
      <c r="AD104" s="2">
        <f>IF(Raw_Data[[#This Row],[33 kV Outgoinng Import Reading]]-R103&gt;0,Raw_Data[[#This Row],[33 kV Outgoinng Import Reading]]-R103,0)*1000</f>
        <v>176.29999999996926</v>
      </c>
      <c r="AE104" s="2">
        <f>Raw_Data[[#This Row],[Export  (kWh)]]-Raw_Data[[#This Row],[Import (kWh)]]</f>
        <v>21671.099999998773</v>
      </c>
      <c r="AF104" s="2">
        <f>IFERROR(AVERAGE(Raw_Data[[#This Row],[POA1(Wh/m2)]:[POA2(Wh/m2)]]),"")</f>
        <v>2200</v>
      </c>
      <c r="AG104" s="2">
        <f>IFERROR(Raw_Data[[#This Row],[Avg. POA without Exclusion (W/m2)2]]-Raw_Data[[#This Row],[Avg. POA Lost (W/m2)]],"")</f>
        <v>2200</v>
      </c>
      <c r="AH104" s="35">
        <f t="shared" ref="AH104" si="82">IFERROR((J104-I104)*24,"")</f>
        <v>12.516666666666667</v>
      </c>
      <c r="AI104" s="2"/>
    </row>
    <row r="105" spans="1:35">
      <c r="A105" s="2">
        <f>YEAR(Raw_Data[[#This Row],[Date]])+IF(MONTH(Raw_Data[[#This Row],[Date]])&gt;=4,1,0)</f>
        <v>2026</v>
      </c>
      <c r="B105" s="2">
        <f>YEAR(Raw_Data[[#This Row],[Date]])</f>
        <v>2025</v>
      </c>
      <c r="C105" s="2" t="s">
        <v>155</v>
      </c>
      <c r="D105" s="2" t="s">
        <v>155</v>
      </c>
      <c r="E105" s="39">
        <v>45839</v>
      </c>
      <c r="F105" s="2">
        <f>DAY(EOMONTH(Raw_Data[[#This Row],[Month Year]],0))</f>
        <v>31</v>
      </c>
      <c r="G105" s="63">
        <f t="shared" si="4"/>
        <v>45846</v>
      </c>
      <c r="H105" s="2">
        <v>11.72</v>
      </c>
      <c r="I105" s="219">
        <v>0.25833333333333336</v>
      </c>
      <c r="J105" s="218">
        <v>0.77916666666666667</v>
      </c>
      <c r="K105" s="2">
        <v>5478</v>
      </c>
      <c r="L105" s="2">
        <v>5576</v>
      </c>
      <c r="M105" s="2">
        <v>4900</v>
      </c>
      <c r="N105" s="2">
        <v>5073</v>
      </c>
      <c r="O105" s="2">
        <v>5422</v>
      </c>
      <c r="P105" s="2">
        <v>5579</v>
      </c>
      <c r="Q105" s="2">
        <v>131997.3291</v>
      </c>
      <c r="R105" s="2">
        <v>568.08770000000004</v>
      </c>
      <c r="S105" s="2">
        <v>0</v>
      </c>
      <c r="T105" s="2">
        <v>3411</v>
      </c>
      <c r="U105" s="2">
        <v>3411</v>
      </c>
      <c r="V105" s="2">
        <v>0</v>
      </c>
      <c r="W105" s="2">
        <v>23</v>
      </c>
      <c r="X105" s="2">
        <v>30.7</v>
      </c>
      <c r="Y105" s="2">
        <v>4.7</v>
      </c>
      <c r="Z105" s="2">
        <v>7.7</v>
      </c>
      <c r="AA105" s="2">
        <v>0</v>
      </c>
      <c r="AB105" s="2">
        <f>SUM(Raw_Data[[#This Row],[IC1_Inv1]:[IC2_Inv2]])</f>
        <v>32028</v>
      </c>
      <c r="AC105" s="2">
        <f>IF(Raw_Data[[#This Row],[33 kV Outgoinng Export Reading]]-Q104&gt;0,Raw_Data[[#This Row],[33 kV Outgoinng Export Reading]]-Q104,0)*1000</f>
        <v>31986.700000008568</v>
      </c>
      <c r="AD105" s="2">
        <f>IF(Raw_Data[[#This Row],[33 kV Outgoinng Import Reading]]-R104&gt;0,Raw_Data[[#This Row],[33 kV Outgoinng Import Reading]]-R104,0)*1000</f>
        <v>179.20000000003711</v>
      </c>
      <c r="AE105" s="2">
        <f>Raw_Data[[#This Row],[Export  (kWh)]]-Raw_Data[[#This Row],[Import (kWh)]]</f>
        <v>31807.500000008531</v>
      </c>
      <c r="AF105" s="2">
        <f>IFERROR(AVERAGE(Raw_Data[[#This Row],[POA1(Wh/m2)]:[POA2(Wh/m2)]]),"")</f>
        <v>3411</v>
      </c>
      <c r="AG105" s="2">
        <f>IFERROR(Raw_Data[[#This Row],[Avg. POA without Exclusion (W/m2)2]]-Raw_Data[[#This Row],[Avg. POA Lost (W/m2)]],"")</f>
        <v>3411</v>
      </c>
      <c r="AH105" s="35">
        <f t="shared" ref="AH105" si="83">IFERROR((J105-I105)*24,"")</f>
        <v>12.499999999999998</v>
      </c>
      <c r="AI105" s="2"/>
    </row>
    <row r="106" spans="1:35">
      <c r="A106" s="2">
        <f>YEAR(Raw_Data[[#This Row],[Date]])+IF(MONTH(Raw_Data[[#This Row],[Date]])&gt;=4,1,0)</f>
        <v>2026</v>
      </c>
      <c r="B106" s="2">
        <f>YEAR(Raw_Data[[#This Row],[Date]])</f>
        <v>2025</v>
      </c>
      <c r="C106" s="2" t="s">
        <v>155</v>
      </c>
      <c r="D106" s="2" t="s">
        <v>155</v>
      </c>
      <c r="E106" s="39">
        <v>45839</v>
      </c>
      <c r="F106" s="2">
        <f>DAY(EOMONTH(Raw_Data[[#This Row],[Month Year]],0))</f>
        <v>31</v>
      </c>
      <c r="G106" s="63">
        <f t="shared" si="4"/>
        <v>45847</v>
      </c>
      <c r="H106" s="2">
        <v>11.72</v>
      </c>
      <c r="I106" s="219">
        <v>0.2590277777777778</v>
      </c>
      <c r="J106" s="218">
        <v>0.77222222222222225</v>
      </c>
      <c r="K106" s="2">
        <v>6013</v>
      </c>
      <c r="L106" s="2">
        <v>6047</v>
      </c>
      <c r="M106" s="2">
        <v>5330</v>
      </c>
      <c r="N106" s="2">
        <v>5629</v>
      </c>
      <c r="O106" s="2">
        <v>5965</v>
      </c>
      <c r="P106" s="2">
        <v>6127</v>
      </c>
      <c r="Q106" s="2">
        <v>132032.38149999999</v>
      </c>
      <c r="R106" s="2">
        <v>568.26729999999998</v>
      </c>
      <c r="S106" s="2">
        <v>0</v>
      </c>
      <c r="T106" s="2">
        <v>3799</v>
      </c>
      <c r="U106" s="2">
        <v>3799</v>
      </c>
      <c r="V106" s="2">
        <v>0</v>
      </c>
      <c r="W106" s="2">
        <v>23</v>
      </c>
      <c r="X106" s="2">
        <v>32</v>
      </c>
      <c r="Y106" s="2">
        <v>3</v>
      </c>
      <c r="Z106" s="2">
        <v>7</v>
      </c>
      <c r="AA106" s="2">
        <v>0</v>
      </c>
      <c r="AB106" s="2">
        <f>SUM(Raw_Data[[#This Row],[IC1_Inv1]:[IC2_Inv2]])</f>
        <v>35111</v>
      </c>
      <c r="AC106" s="2">
        <f>IF(Raw_Data[[#This Row],[33 kV Outgoinng Export Reading]]-Q105&gt;0,Raw_Data[[#This Row],[33 kV Outgoinng Export Reading]]-Q105,0)*1000</f>
        <v>35052.399999985937</v>
      </c>
      <c r="AD106" s="2">
        <f>IF(Raw_Data[[#This Row],[33 kV Outgoinng Import Reading]]-R105&gt;0,Raw_Data[[#This Row],[33 kV Outgoinng Import Reading]]-R105,0)*1000</f>
        <v>179.5999999999367</v>
      </c>
      <c r="AE106" s="2">
        <f>Raw_Data[[#This Row],[Export  (kWh)]]-Raw_Data[[#This Row],[Import (kWh)]]</f>
        <v>34872.799999986004</v>
      </c>
      <c r="AF106" s="2">
        <f>IFERROR(AVERAGE(Raw_Data[[#This Row],[POA1(Wh/m2)]:[POA2(Wh/m2)]]),"")</f>
        <v>3799</v>
      </c>
      <c r="AG106" s="2">
        <f>IFERROR(Raw_Data[[#This Row],[Avg. POA without Exclusion (W/m2)2]]-Raw_Data[[#This Row],[Avg. POA Lost (W/m2)]],"")</f>
        <v>3799</v>
      </c>
      <c r="AH106" s="35">
        <f t="shared" ref="AH106" si="84">IFERROR((J106-I106)*24,"")</f>
        <v>12.316666666666668</v>
      </c>
      <c r="AI106" s="2"/>
    </row>
    <row r="107" spans="1:35">
      <c r="A107" s="2">
        <f>YEAR(Raw_Data[[#This Row],[Date]])+IF(MONTH(Raw_Data[[#This Row],[Date]])&gt;=4,1,0)</f>
        <v>2026</v>
      </c>
      <c r="B107" s="2">
        <f>YEAR(Raw_Data[[#This Row],[Date]])</f>
        <v>2025</v>
      </c>
      <c r="C107" s="2" t="s">
        <v>155</v>
      </c>
      <c r="D107" s="2" t="s">
        <v>155</v>
      </c>
      <c r="E107" s="39">
        <v>45839</v>
      </c>
      <c r="F107" s="2">
        <f>DAY(EOMONTH(Raw_Data[[#This Row],[Month Year]],0))</f>
        <v>31</v>
      </c>
      <c r="G107" s="63">
        <f t="shared" si="4"/>
        <v>45848</v>
      </c>
      <c r="H107" s="2">
        <v>11.72</v>
      </c>
      <c r="I107" s="219">
        <v>0.25416666666666665</v>
      </c>
      <c r="J107" s="218">
        <v>0.78680555555555554</v>
      </c>
      <c r="K107" s="2">
        <v>8009</v>
      </c>
      <c r="L107" s="2">
        <v>8107</v>
      </c>
      <c r="M107" s="2">
        <v>7093</v>
      </c>
      <c r="N107" s="2">
        <v>7605</v>
      </c>
      <c r="O107" s="2">
        <v>8216</v>
      </c>
      <c r="P107" s="2">
        <v>8275</v>
      </c>
      <c r="Q107" s="2">
        <v>132079.66159999999</v>
      </c>
      <c r="R107" s="2">
        <v>568.44039999999995</v>
      </c>
      <c r="S107" s="2">
        <v>0</v>
      </c>
      <c r="T107" s="2">
        <v>5343</v>
      </c>
      <c r="U107" s="2">
        <v>5343</v>
      </c>
      <c r="V107" s="2">
        <v>0</v>
      </c>
      <c r="W107" s="2">
        <v>23</v>
      </c>
      <c r="X107" s="2">
        <v>36</v>
      </c>
      <c r="Y107" s="2">
        <v>2</v>
      </c>
      <c r="Z107" s="2">
        <v>5</v>
      </c>
      <c r="AA107" s="2">
        <v>0</v>
      </c>
      <c r="AB107" s="2">
        <f>SUM(Raw_Data[[#This Row],[IC1_Inv1]:[IC2_Inv2]])</f>
        <v>47305</v>
      </c>
      <c r="AC107" s="2">
        <f>IF(Raw_Data[[#This Row],[33 kV Outgoinng Export Reading]]-Q106&gt;0,Raw_Data[[#This Row],[33 kV Outgoinng Export Reading]]-Q106,0)*1000</f>
        <v>47280.100000003586</v>
      </c>
      <c r="AD107" s="2">
        <f>IF(Raw_Data[[#This Row],[33 kV Outgoinng Import Reading]]-R106&gt;0,Raw_Data[[#This Row],[33 kV Outgoinng Import Reading]]-R106,0)*1000</f>
        <v>173.09999999997672</v>
      </c>
      <c r="AE107" s="2">
        <f>Raw_Data[[#This Row],[Export  (kWh)]]-Raw_Data[[#This Row],[Import (kWh)]]</f>
        <v>47107.000000003609</v>
      </c>
      <c r="AF107" s="2">
        <f>IFERROR(AVERAGE(Raw_Data[[#This Row],[POA1(Wh/m2)]:[POA2(Wh/m2)]]),"")</f>
        <v>5343</v>
      </c>
      <c r="AG107" s="2">
        <f>IFERROR(Raw_Data[[#This Row],[Avg. POA without Exclusion (W/m2)2]]-Raw_Data[[#This Row],[Avg. POA Lost (W/m2)]],"")</f>
        <v>5343</v>
      </c>
      <c r="AH107" s="35">
        <f t="shared" ref="AH107" si="85">IFERROR((J107-I107)*24,"")</f>
        <v>12.783333333333333</v>
      </c>
      <c r="AI107" s="2"/>
    </row>
    <row r="108" spans="1:35">
      <c r="A108" s="2">
        <f>YEAR(Raw_Data[[#This Row],[Date]])+IF(MONTH(Raw_Data[[#This Row],[Date]])&gt;=4,1,0)</f>
        <v>2026</v>
      </c>
      <c r="B108" s="2">
        <f>YEAR(Raw_Data[[#This Row],[Date]])</f>
        <v>2025</v>
      </c>
      <c r="C108" s="2" t="s">
        <v>155</v>
      </c>
      <c r="D108" s="2" t="s">
        <v>155</v>
      </c>
      <c r="E108" s="39">
        <v>45839</v>
      </c>
      <c r="F108" s="2">
        <f>DAY(EOMONTH(Raw_Data[[#This Row],[Month Year]],0))</f>
        <v>31</v>
      </c>
      <c r="G108" s="63">
        <f t="shared" si="4"/>
        <v>45849</v>
      </c>
      <c r="H108" s="2">
        <v>11.72</v>
      </c>
      <c r="I108" s="219">
        <v>0.25486111111111109</v>
      </c>
      <c r="J108" s="218">
        <v>0.77777777777777779</v>
      </c>
      <c r="K108" s="2">
        <v>8881</v>
      </c>
      <c r="L108" s="2">
        <v>8919</v>
      </c>
      <c r="M108" s="2">
        <v>7786</v>
      </c>
      <c r="N108" s="2">
        <v>8452</v>
      </c>
      <c r="O108" s="2">
        <v>9361</v>
      </c>
      <c r="P108" s="2">
        <v>9374</v>
      </c>
      <c r="Q108" s="2">
        <v>132132.46669999999</v>
      </c>
      <c r="R108" s="2">
        <v>568.62</v>
      </c>
      <c r="S108" s="2">
        <v>0</v>
      </c>
      <c r="T108" s="2">
        <v>6075</v>
      </c>
      <c r="U108" s="2">
        <v>6075</v>
      </c>
      <c r="V108" s="2">
        <v>0</v>
      </c>
      <c r="W108" s="2">
        <v>24</v>
      </c>
      <c r="X108" s="2">
        <v>38.5</v>
      </c>
      <c r="Y108" s="2">
        <v>2</v>
      </c>
      <c r="Z108" s="2">
        <v>5</v>
      </c>
      <c r="AA108" s="2">
        <v>0</v>
      </c>
      <c r="AB108" s="2">
        <f>SUM(Raw_Data[[#This Row],[IC1_Inv1]:[IC2_Inv2]])</f>
        <v>52773</v>
      </c>
      <c r="AC108" s="2">
        <f>IF(Raw_Data[[#This Row],[33 kV Outgoinng Export Reading]]-Q107&gt;0,Raw_Data[[#This Row],[33 kV Outgoinng Export Reading]]-Q107,0)*1000</f>
        <v>52805.099999997765</v>
      </c>
      <c r="AD108" s="2">
        <f>IF(Raw_Data[[#This Row],[33 kV Outgoinng Import Reading]]-R107&gt;0,Raw_Data[[#This Row],[33 kV Outgoinng Import Reading]]-R107,0)*1000</f>
        <v>179.60000000005039</v>
      </c>
      <c r="AE108" s="2">
        <f>Raw_Data[[#This Row],[Export  (kWh)]]-Raw_Data[[#This Row],[Import (kWh)]]</f>
        <v>52625.499999997715</v>
      </c>
      <c r="AF108" s="2">
        <f>IFERROR(AVERAGE(Raw_Data[[#This Row],[POA1(Wh/m2)]:[POA2(Wh/m2)]]),"")</f>
        <v>6075</v>
      </c>
      <c r="AG108" s="2">
        <f>IFERROR(Raw_Data[[#This Row],[Avg. POA without Exclusion (W/m2)2]]-Raw_Data[[#This Row],[Avg. POA Lost (W/m2)]],"")</f>
        <v>6075</v>
      </c>
      <c r="AH108" s="35">
        <f t="shared" ref="AH108" si="86">IFERROR((J108-I108)*24,"")</f>
        <v>12.55</v>
      </c>
      <c r="AI108" s="2"/>
    </row>
    <row r="109" spans="1:35">
      <c r="A109" s="2">
        <f>YEAR(Raw_Data[[#This Row],[Date]])+IF(MONTH(Raw_Data[[#This Row],[Date]])&gt;=4,1,0)</f>
        <v>2026</v>
      </c>
      <c r="B109" s="2">
        <f>YEAR(Raw_Data[[#This Row],[Date]])</f>
        <v>2025</v>
      </c>
      <c r="C109" s="2" t="s">
        <v>155</v>
      </c>
      <c r="D109" s="2" t="s">
        <v>155</v>
      </c>
      <c r="E109" s="39">
        <v>45839</v>
      </c>
      <c r="F109" s="2">
        <f>DAY(EOMONTH(Raw_Data[[#This Row],[Month Year]],0))</f>
        <v>31</v>
      </c>
      <c r="G109" s="63">
        <f t="shared" si="4"/>
        <v>45850</v>
      </c>
      <c r="H109" s="2">
        <v>11.72</v>
      </c>
      <c r="I109" s="219">
        <v>0.25416666666666665</v>
      </c>
      <c r="J109" s="218">
        <v>0.78472222222222221</v>
      </c>
      <c r="K109" s="2">
        <v>9247</v>
      </c>
      <c r="L109" s="2">
        <v>9347</v>
      </c>
      <c r="M109" s="2">
        <v>8118</v>
      </c>
      <c r="N109" s="2">
        <v>8901</v>
      </c>
      <c r="O109" s="2">
        <v>9723</v>
      </c>
      <c r="P109" s="2">
        <v>9726</v>
      </c>
      <c r="Q109" s="2">
        <v>132187.50810000001</v>
      </c>
      <c r="R109" s="2">
        <v>568.63779999999997</v>
      </c>
      <c r="S109" s="2">
        <v>0</v>
      </c>
      <c r="T109" s="2">
        <v>6621</v>
      </c>
      <c r="U109" s="2">
        <v>6432</v>
      </c>
      <c r="V109" s="2">
        <v>0</v>
      </c>
      <c r="W109" s="2">
        <v>24</v>
      </c>
      <c r="X109" s="2">
        <v>39</v>
      </c>
      <c r="Y109" s="2">
        <v>3</v>
      </c>
      <c r="Z109" s="2">
        <v>5</v>
      </c>
      <c r="AA109" s="2">
        <v>0</v>
      </c>
      <c r="AB109" s="2">
        <f>SUM(Raw_Data[[#This Row],[IC1_Inv1]:[IC2_Inv2]])</f>
        <v>55062</v>
      </c>
      <c r="AC109" s="2">
        <f>IF(Raw_Data[[#This Row],[33 kV Outgoinng Export Reading]]-Q108&gt;0,Raw_Data[[#This Row],[33 kV Outgoinng Export Reading]]-Q108,0)*1000</f>
        <v>55041.400000016438</v>
      </c>
      <c r="AD109" s="2">
        <f>IF(Raw_Data[[#This Row],[33 kV Outgoinng Import Reading]]-R108&gt;0,Raw_Data[[#This Row],[33 kV Outgoinng Import Reading]]-R108,0)*1000</f>
        <v>17.799999999965621</v>
      </c>
      <c r="AE109" s="2">
        <f>Raw_Data[[#This Row],[Export  (kWh)]]-Raw_Data[[#This Row],[Import (kWh)]]</f>
        <v>55023.600000016471</v>
      </c>
      <c r="AF109" s="2">
        <f>IFERROR(AVERAGE(Raw_Data[[#This Row],[POA1(Wh/m2)]:[POA2(Wh/m2)]]),"")</f>
        <v>6526.5</v>
      </c>
      <c r="AG109" s="2">
        <f>IFERROR(Raw_Data[[#This Row],[Avg. POA without Exclusion (W/m2)2]]-Raw_Data[[#This Row],[Avg. POA Lost (W/m2)]],"")</f>
        <v>6526.5</v>
      </c>
      <c r="AH109" s="35">
        <f t="shared" ref="AH109" si="87">IFERROR((J109-I109)*24,"")</f>
        <v>12.733333333333334</v>
      </c>
      <c r="AI109" s="2"/>
    </row>
    <row r="110" spans="1:35">
      <c r="A110" s="2">
        <f>YEAR(Raw_Data[[#This Row],[Date]])+IF(MONTH(Raw_Data[[#This Row],[Date]])&gt;=4,1,0)</f>
        <v>2026</v>
      </c>
      <c r="B110" s="2">
        <f>YEAR(Raw_Data[[#This Row],[Date]])</f>
        <v>2025</v>
      </c>
      <c r="C110" s="2" t="s">
        <v>155</v>
      </c>
      <c r="D110" s="2" t="s">
        <v>155</v>
      </c>
      <c r="E110" s="39">
        <v>45839</v>
      </c>
      <c r="F110" s="233">
        <f>DAY(EOMONTH(Raw_Data[[#This Row],[Month Year]],0))</f>
        <v>31</v>
      </c>
      <c r="G110" s="63">
        <f t="shared" si="4"/>
        <v>45851</v>
      </c>
      <c r="H110" s="233">
        <v>11.72</v>
      </c>
      <c r="I110" s="219">
        <v>0.25208333333333333</v>
      </c>
      <c r="J110" s="218">
        <v>0.78194444444444444</v>
      </c>
      <c r="K110" s="2">
        <v>8883</v>
      </c>
      <c r="L110" s="2">
        <v>9026</v>
      </c>
      <c r="M110" s="2">
        <v>7836</v>
      </c>
      <c r="N110" s="2">
        <v>8441</v>
      </c>
      <c r="O110" s="2">
        <v>9121</v>
      </c>
      <c r="P110" s="2">
        <v>9203</v>
      </c>
      <c r="Q110" s="2">
        <v>132240.00899999999</v>
      </c>
      <c r="R110" s="2">
        <v>568.84609999999998</v>
      </c>
      <c r="S110" s="2">
        <v>0</v>
      </c>
      <c r="T110" s="2">
        <v>6142</v>
      </c>
      <c r="U110" s="2">
        <v>6142</v>
      </c>
      <c r="V110" s="2">
        <v>0</v>
      </c>
      <c r="W110" s="2">
        <v>24</v>
      </c>
      <c r="X110" s="2">
        <v>39</v>
      </c>
      <c r="Y110" s="2">
        <v>3</v>
      </c>
      <c r="Z110" s="2">
        <v>5</v>
      </c>
      <c r="AA110" s="2">
        <v>0</v>
      </c>
      <c r="AB110" s="233">
        <f>SUM(Raw_Data[[#This Row],[IC1_Inv1]:[IC2_Inv2]])</f>
        <v>52510</v>
      </c>
      <c r="AC110" s="233">
        <f>IF(Raw_Data[[#This Row],[33 kV Outgoinng Export Reading]]-Q109&gt;0,Raw_Data[[#This Row],[33 kV Outgoinng Export Reading]]-Q109,0)*1000</f>
        <v>52500.89999998454</v>
      </c>
      <c r="AD110" s="2">
        <f>IF(Raw_Data[[#This Row],[33 kV Outgoinng Import Reading]]-R109&gt;0,Raw_Data[[#This Row],[33 kV Outgoinng Import Reading]]-R109,0)*1000</f>
        <v>208.30000000000837</v>
      </c>
      <c r="AE110" s="233">
        <f>Raw_Data[[#This Row],[Export  (kWh)]]-Raw_Data[[#This Row],[Import (kWh)]]</f>
        <v>52292.59999998453</v>
      </c>
      <c r="AF110" s="233">
        <f>IFERROR(AVERAGE(Raw_Data[[#This Row],[POA1(Wh/m2)]:[POA2(Wh/m2)]]),"")</f>
        <v>6142</v>
      </c>
      <c r="AG110" s="233">
        <f>IFERROR(Raw_Data[[#This Row],[Avg. POA without Exclusion (W/m2)2]]-Raw_Data[[#This Row],[Avg. POA Lost (W/m2)]],"")</f>
        <v>6142</v>
      </c>
      <c r="AH110" s="35">
        <f t="shared" ref="AH110" si="88">IFERROR((J110-I110)*24,"")</f>
        <v>12.716666666666667</v>
      </c>
      <c r="AI110" s="233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13</v>
      </c>
      <c r="R41" s="141">
        <f t="shared" si="42"/>
        <v>60.150132354838689</v>
      </c>
      <c r="S41" s="149">
        <f>SUMIF($F$2:F41,F41,$R$2:R41)</f>
        <v>694.18313835483866</v>
      </c>
      <c r="T41" s="140">
        <f t="shared" si="43"/>
        <v>40.702654142805535</v>
      </c>
      <c r="U41" s="141">
        <f t="shared" si="44"/>
        <v>529.13450385647195</v>
      </c>
      <c r="V41" s="149">
        <f>SUMIF($F$2:F41,F41,$U$2:U41)</f>
        <v>5886.8954087415605</v>
      </c>
      <c r="W41" s="142">
        <f t="shared" si="45"/>
        <v>0.14470511285127108</v>
      </c>
      <c r="X41" s="142">
        <f t="shared" si="8"/>
        <v>0.14470511285127108</v>
      </c>
      <c r="Y41" s="142">
        <f t="shared" si="9"/>
        <v>0.20123991590440815</v>
      </c>
      <c r="Z41" s="140">
        <f>IFERROR(AVERAGEIF('Daily KPI'!D:D,Table14[[#This Row],[Month]],'Daily KPI'!AB:AB),"")</f>
        <v>11.72</v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694.18313835483866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5886.8954087415605</v>
      </c>
      <c r="W42" s="142">
        <f t="shared" si="45"/>
        <v>0.1496103709140261</v>
      </c>
      <c r="X42" s="142" t="str">
        <f t="shared" si="8"/>
        <v/>
      </c>
      <c r="Y42" s="142">
        <f t="shared" si="9"/>
        <v>0.20123991590440815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694.18313835483866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5886.8954087415605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0.20123991590440815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694.18313835483866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5886.8954087415605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0.20123991590440815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694.18313835483866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5886.8954087415605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0.20123991590440815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694.18313835483866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5886.8954087415605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0.20123991590440815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694.18313835483866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5886.8954087415605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0.20123991590440815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694.18313835483866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5886.8954087415605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0.20123991590440815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694.18313835483866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5886.8954087415605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0.20123991590440815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9"/>
  <sheetViews>
    <sheetView topLeftCell="A2" workbookViewId="0">
      <pane xSplit="1" ySplit="1" topLeftCell="B94" activePane="bottomRight" state="frozen"/>
      <selection pane="topRight" activeCell="B2" sqref="B2"/>
      <selection pane="bottomLeft" activeCell="A3" sqref="A3"/>
      <selection pane="bottomRight" activeCell="A110" sqref="A110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109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  <row r="97" spans="1:17">
      <c r="A97" s="214">
        <f t="shared" ref="A97" si="334">YEAR(H97)+IF(MONTH(H97)&gt;=4,1,0)</f>
        <v>2026</v>
      </c>
      <c r="B97" s="215">
        <f t="shared" ref="B97" si="335">YEAR(H97)</f>
        <v>2025</v>
      </c>
      <c r="C97" s="196">
        <f>YEAR(Table12[[#This Row],[Date]])</f>
        <v>2025</v>
      </c>
      <c r="D97" s="196" t="s">
        <v>155</v>
      </c>
      <c r="E97" s="196" t="s">
        <v>155</v>
      </c>
      <c r="F97" s="197">
        <v>45839</v>
      </c>
      <c r="G97" s="196">
        <f t="shared" ref="G97" si="336">DAY(EOMONTH(F97,0))</f>
        <v>31</v>
      </c>
      <c r="H97" s="198">
        <f t="shared" si="239"/>
        <v>45839</v>
      </c>
      <c r="I97" s="199">
        <f>'Modelling New'!$AQ$1</f>
        <v>11.72</v>
      </c>
      <c r="J97" s="30">
        <f>'Raw Data'!K98/J$1</f>
        <v>2.0068168383453449</v>
      </c>
      <c r="K97" s="30">
        <f>'Raw Data'!L98/K$1</f>
        <v>2.0332758141103433</v>
      </c>
      <c r="L97" s="30">
        <f>'Raw Data'!M98/L$1</f>
        <v>2.0191732902340203</v>
      </c>
      <c r="M97" s="30">
        <f>'Raw Data'!N98/M$1</f>
        <v>2.0171028202035535</v>
      </c>
      <c r="N97" s="30">
        <f>'Raw Data'!O98/N$1</f>
        <v>1.9716796899171083</v>
      </c>
      <c r="O97" s="30">
        <f>'Raw Data'!P98/O$1</f>
        <v>1.9935643564356436</v>
      </c>
      <c r="P97" s="30">
        <f t="shared" ref="P97" si="337">IFERROR(AVERAGEIF(J97:O97,"&gt;"&amp;0,J97:O97),"")</f>
        <v>2.006935468207669</v>
      </c>
      <c r="Q97" s="30">
        <f t="shared" ref="Q97" si="338">MAXA(J97:O97)</f>
        <v>2.0332758141103433</v>
      </c>
    </row>
    <row r="98" spans="1:17">
      <c r="A98" s="214">
        <f t="shared" ref="A98" si="339">YEAR(H98)+IF(MONTH(H98)&gt;=4,1,0)</f>
        <v>2026</v>
      </c>
      <c r="B98" s="215">
        <f t="shared" ref="B98" si="340">YEAR(H98)</f>
        <v>2025</v>
      </c>
      <c r="C98" s="196">
        <f>YEAR(Table12[[#This Row],[Date]])</f>
        <v>2025</v>
      </c>
      <c r="D98" s="196" t="s">
        <v>155</v>
      </c>
      <c r="E98" s="196" t="s">
        <v>155</v>
      </c>
      <c r="F98" s="197">
        <v>45839</v>
      </c>
      <c r="G98" s="196">
        <f t="shared" ref="G98" si="341">DAY(EOMONTH(F98,0))</f>
        <v>31</v>
      </c>
      <c r="H98" s="198">
        <f t="shared" si="239"/>
        <v>45840</v>
      </c>
      <c r="I98" s="199">
        <f>'Modelling New'!$AQ$1</f>
        <v>11.72</v>
      </c>
      <c r="J98" s="30">
        <f>'Raw Data'!K99/J$1</f>
        <v>1.594788011420091</v>
      </c>
      <c r="K98" s="30">
        <f>'Raw Data'!L99/K$1</f>
        <v>1.6133280491137034</v>
      </c>
      <c r="L98" s="30">
        <f>'Raw Data'!M99/L$1</f>
        <v>1.6018331968029755</v>
      </c>
      <c r="M98" s="30">
        <f>'Raw Data'!N99/M$1</f>
        <v>1.5980701730610254</v>
      </c>
      <c r="N98" s="30">
        <f>'Raw Data'!O99/N$1</f>
        <v>1.5880362654416478</v>
      </c>
      <c r="O98" s="30">
        <f>'Raw Data'!P99/O$1</f>
        <v>1.6004950495049506</v>
      </c>
      <c r="P98" s="30">
        <f t="shared" ref="P98" si="342">IFERROR(AVERAGEIF(J98:O98,"&gt;"&amp;0,J98:O98),"")</f>
        <v>1.5994251242240656</v>
      </c>
      <c r="Q98" s="30">
        <f t="shared" ref="Q98" si="343">MAXA(J98:O98)</f>
        <v>1.6133280491137034</v>
      </c>
    </row>
    <row r="99" spans="1:17">
      <c r="A99" s="214">
        <f t="shared" ref="A99" si="344">YEAR(H99)+IF(MONTH(H99)&gt;=4,1,0)</f>
        <v>2026</v>
      </c>
      <c r="B99" s="215">
        <f t="shared" ref="B99" si="345">YEAR(H99)</f>
        <v>2025</v>
      </c>
      <c r="C99" s="196">
        <f>YEAR(Table12[[#This Row],[Date]])</f>
        <v>2025</v>
      </c>
      <c r="D99" s="196" t="s">
        <v>155</v>
      </c>
      <c r="E99" s="196" t="s">
        <v>155</v>
      </c>
      <c r="F99" s="197">
        <v>45839</v>
      </c>
      <c r="G99" s="196">
        <f t="shared" ref="G99" si="346">DAY(EOMONTH(F99,0))</f>
        <v>31</v>
      </c>
      <c r="H99" s="198">
        <f t="shared" si="239"/>
        <v>45841</v>
      </c>
      <c r="I99" s="199">
        <f>'Modelling New'!$AQ$1</f>
        <v>11.72</v>
      </c>
      <c r="J99" s="30">
        <f>'Raw Data'!K100/J$1</f>
        <v>2.4515463658202217</v>
      </c>
      <c r="K99" s="30">
        <f>'Raw Data'!L100/K$1</f>
        <v>2.4571621278994491</v>
      </c>
      <c r="L99" s="30">
        <f>'Raw Data'!M100/L$1</f>
        <v>2.4387273894657602</v>
      </c>
      <c r="M99" s="30">
        <f>'Raw Data'!N100/M$1</f>
        <v>2.4404721570965862</v>
      </c>
      <c r="N99" s="30">
        <f>'Raw Data'!O100/N$1</f>
        <v>2.403340420423691</v>
      </c>
      <c r="O99" s="30">
        <f>'Raw Data'!P100/O$1</f>
        <v>2.4529702970297032</v>
      </c>
      <c r="P99" s="30">
        <f t="shared" ref="P99" si="347">IFERROR(AVERAGEIF(J99:O99,"&gt;"&amp;0,J99:O99),"")</f>
        <v>2.4407031262892347</v>
      </c>
      <c r="Q99" s="30">
        <f t="shared" ref="Q99" si="348">MAXA(J99:O99)</f>
        <v>2.4571621278994491</v>
      </c>
    </row>
    <row r="100" spans="1:17">
      <c r="A100" s="214">
        <f t="shared" ref="A100" si="349">YEAR(H100)+IF(MONTH(H100)&gt;=4,1,0)</f>
        <v>2026</v>
      </c>
      <c r="B100" s="215">
        <f t="shared" ref="B100" si="350">YEAR(H100)</f>
        <v>2025</v>
      </c>
      <c r="C100" s="196">
        <f>YEAR(Table12[[#This Row],[Date]])</f>
        <v>2025</v>
      </c>
      <c r="D100" s="196" t="s">
        <v>155</v>
      </c>
      <c r="E100" s="196" t="s">
        <v>155</v>
      </c>
      <c r="F100" s="197">
        <v>45839</v>
      </c>
      <c r="G100" s="196">
        <f t="shared" ref="G100" si="351">DAY(EOMONTH(F100,0))</f>
        <v>31</v>
      </c>
      <c r="H100" s="198">
        <f t="shared" si="239"/>
        <v>45842</v>
      </c>
      <c r="I100" s="199">
        <f>'Modelling New'!$AQ$1</f>
        <v>11.72</v>
      </c>
      <c r="J100" s="30">
        <f>'Raw Data'!K101/J$1</f>
        <v>3.9260964167578516</v>
      </c>
      <c r="K100" s="30">
        <f>'Raw Data'!L101/K$1</f>
        <v>3.9178714113051121</v>
      </c>
      <c r="L100" s="30">
        <f>'Raw Data'!M101/L$1</f>
        <v>3.8933292005225053</v>
      </c>
      <c r="M100" s="30">
        <f>'Raw Data'!N101/M$1</f>
        <v>3.9837916220574883</v>
      </c>
      <c r="N100" s="30">
        <f>'Raw Data'!O101/N$1</f>
        <v>3.9710807111511528</v>
      </c>
      <c r="O100" s="30">
        <f>'Raw Data'!P101/O$1</f>
        <v>4.0415841584158416</v>
      </c>
      <c r="P100" s="30">
        <f t="shared" ref="P100" si="352">IFERROR(AVERAGEIF(J100:O100,"&gt;"&amp;0,J100:O100),"")</f>
        <v>3.9556255867016579</v>
      </c>
      <c r="Q100" s="30">
        <f t="shared" ref="Q100" si="353">MAXA(J100:O100)</f>
        <v>4.0415841584158416</v>
      </c>
    </row>
    <row r="101" spans="1:17">
      <c r="A101" s="214">
        <f t="shared" ref="A101" si="354">YEAR(H101)+IF(MONTH(H101)&gt;=4,1,0)</f>
        <v>2026</v>
      </c>
      <c r="B101" s="215">
        <f t="shared" ref="B101" si="355">YEAR(H101)</f>
        <v>2025</v>
      </c>
      <c r="C101" s="196">
        <f>YEAR(Table12[[#This Row],[Date]])</f>
        <v>2025</v>
      </c>
      <c r="D101" s="196" t="s">
        <v>155</v>
      </c>
      <c r="E101" s="196" t="s">
        <v>155</v>
      </c>
      <c r="F101" s="197">
        <v>45839</v>
      </c>
      <c r="G101" s="196">
        <f t="shared" ref="G101" si="356">DAY(EOMONTH(F101,0))</f>
        <v>31</v>
      </c>
      <c r="H101" s="198">
        <f t="shared" si="239"/>
        <v>45843</v>
      </c>
      <c r="I101" s="199">
        <f>'Modelling New'!$AQ$1</f>
        <v>11.72</v>
      </c>
      <c r="J101" s="30">
        <f>'Raw Data'!K102/J$1</f>
        <v>4.0815505162937535</v>
      </c>
      <c r="K101" s="30">
        <f>'Raw Data'!L102/K$1</f>
        <v>4.2039085173579229</v>
      </c>
      <c r="L101" s="30">
        <f>'Raw Data'!M102/L$1</f>
        <v>4.1468328647021053</v>
      </c>
      <c r="M101" s="30">
        <f>'Raw Data'!N102/M$1</f>
        <v>4.2570030763392923</v>
      </c>
      <c r="N101" s="30">
        <f>'Raw Data'!O102/N$1</f>
        <v>4.2042369084775295</v>
      </c>
      <c r="O101" s="30">
        <f>'Raw Data'!P102/O$1</f>
        <v>4.2846534653465342</v>
      </c>
      <c r="P101" s="30">
        <f t="shared" ref="P101" si="357">IFERROR(AVERAGEIF(J101:O101,"&gt;"&amp;0,J101:O101),"")</f>
        <v>4.1963642247528563</v>
      </c>
      <c r="Q101" s="30">
        <f t="shared" ref="Q101" si="358">MAXA(J101:O101)</f>
        <v>4.2846534653465342</v>
      </c>
    </row>
    <row r="102" spans="1:17">
      <c r="A102" s="214">
        <f t="shared" ref="A102" si="359">YEAR(H102)+IF(MONTH(H102)&gt;=4,1,0)</f>
        <v>2026</v>
      </c>
      <c r="B102" s="215">
        <f t="shared" ref="B102" si="360">YEAR(H102)</f>
        <v>2025</v>
      </c>
      <c r="C102" s="196">
        <f>YEAR(Table12[[#This Row],[Date]])</f>
        <v>2025</v>
      </c>
      <c r="D102" s="196" t="s">
        <v>155</v>
      </c>
      <c r="E102" s="196" t="s">
        <v>155</v>
      </c>
      <c r="F102" s="197">
        <v>45839</v>
      </c>
      <c r="G102" s="196">
        <f t="shared" ref="G102" si="361">DAY(EOMONTH(F102,0))</f>
        <v>31</v>
      </c>
      <c r="H102" s="198">
        <f t="shared" si="239"/>
        <v>45844</v>
      </c>
      <c r="I102" s="199">
        <f>'Modelling New'!$AQ$1</f>
        <v>11.72</v>
      </c>
      <c r="J102" s="30">
        <f>'Raw Data'!K103/J$1</f>
        <v>4.3501993485014276</v>
      </c>
      <c r="K102" s="30">
        <f>'Raw Data'!L103/K$1</f>
        <v>4.3786816200235821</v>
      </c>
      <c r="L102" s="30">
        <f>'Raw Data'!M103/L$1</f>
        <v>4.2824407199946863</v>
      </c>
      <c r="M102" s="30">
        <f>'Raw Data'!N103/M$1</f>
        <v>4.4131239073574653</v>
      </c>
      <c r="N102" s="30">
        <f>'Raw Data'!O103/N$1</f>
        <v>4.3695748488321149</v>
      </c>
      <c r="O102" s="30">
        <f>'Raw Data'!P103/O$1</f>
        <v>4.389108910891089</v>
      </c>
      <c r="P102" s="30">
        <f t="shared" ref="P102" si="362">IFERROR(AVERAGEIF(J102:O102,"&gt;"&amp;0,J102:O102),"")</f>
        <v>4.3638548926000613</v>
      </c>
      <c r="Q102" s="30">
        <f t="shared" ref="Q102" si="363">MAXA(J102:O102)</f>
        <v>4.4131239073574653</v>
      </c>
    </row>
    <row r="103" spans="1:17">
      <c r="A103" s="214">
        <f t="shared" ref="A103" si="364">YEAR(H103)+IF(MONTH(H103)&gt;=4,1,0)</f>
        <v>2026</v>
      </c>
      <c r="B103" s="215">
        <f t="shared" ref="B103" si="365">YEAR(H103)</f>
        <v>2025</v>
      </c>
      <c r="C103" s="196">
        <f>YEAR(Table12[[#This Row],[Date]])</f>
        <v>2025</v>
      </c>
      <c r="D103" s="196" t="s">
        <v>155</v>
      </c>
      <c r="E103" s="196" t="s">
        <v>155</v>
      </c>
      <c r="F103" s="197">
        <v>45839</v>
      </c>
      <c r="G103" s="196">
        <f t="shared" ref="G103" si="366">DAY(EOMONTH(F103,0))</f>
        <v>31</v>
      </c>
      <c r="H103" s="198">
        <f t="shared" si="239"/>
        <v>45845</v>
      </c>
      <c r="I103" s="199">
        <f>'Modelling New'!$AQ$1</f>
        <v>11.72</v>
      </c>
      <c r="J103" s="30">
        <f>'Raw Data'!K104/J$1</f>
        <v>1.8775232992491417</v>
      </c>
      <c r="K103" s="30">
        <f>'Raw Data'!L104/K$1</f>
        <v>1.8855802343928851</v>
      </c>
      <c r="L103" s="30">
        <f>'Raw Data'!M104/L$1</f>
        <v>1.8807979276905704</v>
      </c>
      <c r="M103" s="30">
        <f>'Raw Data'!N104/M$1</f>
        <v>1.8636924202794456</v>
      </c>
      <c r="N103" s="30">
        <f>'Raw Data'!O104/N$1</f>
        <v>1.832578009558909</v>
      </c>
      <c r="O103" s="30">
        <f>'Raw Data'!P104/O$1</f>
        <v>1.8767326732673266</v>
      </c>
      <c r="P103" s="30">
        <f t="shared" ref="P103" si="367">IFERROR(AVERAGEIF(J103:O103,"&gt;"&amp;0,J103:O103),"")</f>
        <v>1.8694840940730462</v>
      </c>
      <c r="Q103" s="30">
        <f t="shared" ref="Q103" si="368">MAXA(J103:O103)</f>
        <v>1.8855802343928851</v>
      </c>
    </row>
    <row r="104" spans="1:17">
      <c r="A104" s="214">
        <f t="shared" ref="A104" si="369">YEAR(H104)+IF(MONTH(H104)&gt;=4,1,0)</f>
        <v>2026</v>
      </c>
      <c r="B104" s="215">
        <f t="shared" ref="B104" si="370">YEAR(H104)</f>
        <v>2025</v>
      </c>
      <c r="C104" s="196">
        <f>YEAR(Table12[[#This Row],[Date]])</f>
        <v>2025</v>
      </c>
      <c r="D104" s="196" t="s">
        <v>155</v>
      </c>
      <c r="E104" s="196" t="s">
        <v>155</v>
      </c>
      <c r="F104" s="197">
        <v>45839</v>
      </c>
      <c r="G104" s="196">
        <f t="shared" ref="G104" si="371">DAY(EOMONTH(F104,0))</f>
        <v>31</v>
      </c>
      <c r="H104" s="198">
        <f t="shared" si="239"/>
        <v>45846</v>
      </c>
      <c r="I104" s="199">
        <f>'Modelling New'!$AQ$1</f>
        <v>11.72</v>
      </c>
      <c r="J104" s="30">
        <f>'Raw Data'!K105/J$1</f>
        <v>2.7559144247821004</v>
      </c>
      <c r="K104" s="30">
        <f>'Raw Data'!L105/K$1</f>
        <v>2.7451685083484927</v>
      </c>
      <c r="L104" s="30">
        <f>'Raw Data'!M105/L$1</f>
        <v>2.7121571058516172</v>
      </c>
      <c r="M104" s="30">
        <f>'Raw Data'!N105/M$1</f>
        <v>2.7500033880388677</v>
      </c>
      <c r="N104" s="30">
        <f>'Raw Data'!O105/N$1</f>
        <v>2.6840189000076728</v>
      </c>
      <c r="O104" s="30">
        <f>'Raw Data'!P105/O$1</f>
        <v>2.7618811881188119</v>
      </c>
      <c r="P104" s="30">
        <f t="shared" ref="P104" si="372">IFERROR(AVERAGEIF(J104:O104,"&gt;"&amp;0,J104:O104),"")</f>
        <v>2.7348572525245936</v>
      </c>
      <c r="Q104" s="30">
        <f t="shared" ref="Q104" si="373">MAXA(J104:O104)</f>
        <v>2.7618811881188119</v>
      </c>
    </row>
    <row r="105" spans="1:17">
      <c r="A105" s="214">
        <f t="shared" ref="A105" si="374">YEAR(H105)+IF(MONTH(H105)&gt;=4,1,0)</f>
        <v>2026</v>
      </c>
      <c r="B105" s="215">
        <f t="shared" ref="B105" si="375">YEAR(H105)</f>
        <v>2025</v>
      </c>
      <c r="C105" s="196">
        <f>YEAR(Table12[[#This Row],[Date]])</f>
        <v>2025</v>
      </c>
      <c r="D105" s="196" t="s">
        <v>155</v>
      </c>
      <c r="E105" s="196" t="s">
        <v>155</v>
      </c>
      <c r="F105" s="197">
        <v>45839</v>
      </c>
      <c r="G105" s="196">
        <f t="shared" ref="G105" si="376">DAY(EOMONTH(F105,0))</f>
        <v>31</v>
      </c>
      <c r="H105" s="198">
        <f t="shared" si="239"/>
        <v>45847</v>
      </c>
      <c r="I105" s="199">
        <f>'Modelling New'!$AQ$1</f>
        <v>11.72</v>
      </c>
      <c r="J105" s="30">
        <f>'Raw Data'!K106/J$1</f>
        <v>3.0250663446905381</v>
      </c>
      <c r="K105" s="30">
        <f>'Raw Data'!L106/K$1</f>
        <v>2.9770505685049025</v>
      </c>
      <c r="L105" s="30">
        <f>'Raw Data'!M106/L$1</f>
        <v>2.950162729426351</v>
      </c>
      <c r="M105" s="30">
        <f>'Raw Data'!N106/M$1</f>
        <v>3.0514033256989528</v>
      </c>
      <c r="N105" s="30">
        <f>'Raw Data'!O106/N$1</f>
        <v>2.9528168090272535</v>
      </c>
      <c r="O105" s="30">
        <f>'Raw Data'!P106/O$1</f>
        <v>3.033168316831683</v>
      </c>
      <c r="P105" s="30">
        <f t="shared" ref="P105" si="377">IFERROR(AVERAGEIF(J105:O105,"&gt;"&amp;0,J105:O105),"")</f>
        <v>2.9982780156966133</v>
      </c>
      <c r="Q105" s="30">
        <f t="shared" ref="Q105" si="378">MAXA(J105:O105)</f>
        <v>3.0514033256989528</v>
      </c>
    </row>
    <row r="106" spans="1:17">
      <c r="A106" s="214">
        <f t="shared" ref="A106" si="379">YEAR(H106)+IF(MONTH(H106)&gt;=4,1,0)</f>
        <v>2026</v>
      </c>
      <c r="B106" s="215">
        <f t="shared" ref="B106" si="380">YEAR(H106)</f>
        <v>2025</v>
      </c>
      <c r="C106" s="196">
        <f>YEAR(Table12[[#This Row],[Date]])</f>
        <v>2025</v>
      </c>
      <c r="D106" s="196" t="s">
        <v>155</v>
      </c>
      <c r="E106" s="196" t="s">
        <v>155</v>
      </c>
      <c r="F106" s="197">
        <v>45839</v>
      </c>
      <c r="G106" s="196">
        <f t="shared" ref="G106" si="381">DAY(EOMONTH(F106,0))</f>
        <v>31</v>
      </c>
      <c r="H106" s="198">
        <f t="shared" si="239"/>
        <v>45848</v>
      </c>
      <c r="I106" s="199">
        <f>'Modelling New'!$AQ$1</f>
        <v>11.72</v>
      </c>
      <c r="J106" s="30">
        <f>'Raw Data'!K107/J$1</f>
        <v>4.0292293954143554</v>
      </c>
      <c r="K106" s="30">
        <f>'Raw Data'!L107/K$1</f>
        <v>3.9912268825647832</v>
      </c>
      <c r="L106" s="30">
        <f>'Raw Data'!M107/L$1</f>
        <v>3.9259857860827596</v>
      </c>
      <c r="M106" s="30">
        <f>'Raw Data'!N107/M$1</f>
        <v>4.1225656940736428</v>
      </c>
      <c r="N106" s="30">
        <f>'Raw Data'!O107/N$1</f>
        <v>4.0671153232133976</v>
      </c>
      <c r="O106" s="30">
        <f>'Raw Data'!P107/O$1</f>
        <v>4.0965346534653468</v>
      </c>
      <c r="P106" s="30">
        <f t="shared" ref="P106" si="382">IFERROR(AVERAGEIF(J106:O106,"&gt;"&amp;0,J106:O106),"")</f>
        <v>4.038776289135714</v>
      </c>
      <c r="Q106" s="30">
        <f t="shared" ref="Q106" si="383">MAXA(J106:O106)</f>
        <v>4.1225656940736428</v>
      </c>
    </row>
    <row r="107" spans="1:17">
      <c r="A107" s="214">
        <f t="shared" ref="A107" si="384">YEAR(H107)+IF(MONTH(H107)&gt;=4,1,0)</f>
        <v>2026</v>
      </c>
      <c r="B107" s="215">
        <f t="shared" ref="B107" si="385">YEAR(H107)</f>
        <v>2025</v>
      </c>
      <c r="C107" s="196">
        <f>YEAR(Table12[[#This Row],[Date]])</f>
        <v>2025</v>
      </c>
      <c r="D107" s="196" t="s">
        <v>155</v>
      </c>
      <c r="E107" s="196" t="s">
        <v>155</v>
      </c>
      <c r="F107" s="197">
        <v>45839</v>
      </c>
      <c r="G107" s="196">
        <f t="shared" ref="G107" si="386">DAY(EOMONTH(F107,0))</f>
        <v>31</v>
      </c>
      <c r="H107" s="198">
        <f t="shared" si="239"/>
        <v>45849</v>
      </c>
      <c r="I107" s="199">
        <f>'Modelling New'!$AQ$1</f>
        <v>11.72</v>
      </c>
      <c r="J107" s="30">
        <f>'Raw Data'!K108/J$1</f>
        <v>4.4679218704800716</v>
      </c>
      <c r="K107" s="30">
        <f>'Raw Data'!L108/K$1</f>
        <v>4.3909895850000371</v>
      </c>
      <c r="L107" s="30">
        <f>'Raw Data'!M108/L$1</f>
        <v>4.3095622910532025</v>
      </c>
      <c r="M107" s="30">
        <f>'Raw Data'!N108/M$1</f>
        <v>4.5817127214083406</v>
      </c>
      <c r="N107" s="30">
        <f>'Raw Data'!O108/N$1</f>
        <v>4.6339175438900453</v>
      </c>
      <c r="O107" s="30">
        <f>'Raw Data'!P108/O$1</f>
        <v>4.6405940594059407</v>
      </c>
      <c r="P107" s="30">
        <f t="shared" ref="P107" si="387">IFERROR(AVERAGEIF(J107:O107,"&gt;"&amp;0,J107:O107),"")</f>
        <v>4.5041163452062731</v>
      </c>
      <c r="Q107" s="30">
        <f t="shared" ref="Q107" si="388">MAXA(J107:O107)</f>
        <v>4.6405940594059407</v>
      </c>
    </row>
    <row r="108" spans="1:17">
      <c r="A108" s="214">
        <f t="shared" ref="A108" si="389">YEAR(H108)+IF(MONTH(H108)&gt;=4,1,0)</f>
        <v>2026</v>
      </c>
      <c r="B108" s="215">
        <f t="shared" ref="B108" si="390">YEAR(H108)</f>
        <v>2025</v>
      </c>
      <c r="C108" s="196">
        <f>YEAR(Table12[[#This Row],[Date]])</f>
        <v>2025</v>
      </c>
      <c r="D108" s="196" t="s">
        <v>155</v>
      </c>
      <c r="E108" s="196" t="s">
        <v>155</v>
      </c>
      <c r="F108" s="197">
        <v>45839</v>
      </c>
      <c r="G108" s="196">
        <f t="shared" ref="G108" si="391">DAY(EOMONTH(F108,0))</f>
        <v>31</v>
      </c>
      <c r="H108" s="198">
        <f t="shared" si="239"/>
        <v>45850</v>
      </c>
      <c r="I108" s="199">
        <f>'Modelling New'!$AQ$1</f>
        <v>11.72</v>
      </c>
      <c r="J108" s="30">
        <f>'Raw Data'!K109/J$1</f>
        <v>4.6520519689594888</v>
      </c>
      <c r="K108" s="30">
        <f>'Raw Data'!L109/K$1</f>
        <v>4.6017019453969441</v>
      </c>
      <c r="L108" s="30">
        <f>'Raw Data'!M109/L$1</f>
        <v>4.4933247725109036</v>
      </c>
      <c r="M108" s="30">
        <f>'Raw Data'!N109/M$1</f>
        <v>4.825109433655423</v>
      </c>
      <c r="N108" s="30">
        <f>'Raw Data'!O109/N$1</f>
        <v>4.8131161499030988</v>
      </c>
      <c r="O108" s="30">
        <f>'Raw Data'!P109/O$1</f>
        <v>4.8148514851485151</v>
      </c>
      <c r="P108" s="30">
        <f t="shared" ref="P108" si="392">IFERROR(AVERAGEIF(J108:O108,"&gt;"&amp;0,J108:O108),"")</f>
        <v>4.7000259592623959</v>
      </c>
      <c r="Q108" s="30">
        <f t="shared" ref="Q108" si="393">MAXA(J108:O108)</f>
        <v>4.825109433655423</v>
      </c>
    </row>
    <row r="109" spans="1:17">
      <c r="A109" s="214">
        <f t="shared" ref="A109" si="394">YEAR(H109)+IF(MONTH(H109)&gt;=4,1,0)</f>
        <v>2026</v>
      </c>
      <c r="B109" s="215">
        <f t="shared" ref="B109" si="395">YEAR(H109)</f>
        <v>2025</v>
      </c>
      <c r="C109" s="196">
        <f>YEAR(Table12[[#This Row],[Date]])</f>
        <v>2025</v>
      </c>
      <c r="D109" s="196" t="s">
        <v>155</v>
      </c>
      <c r="E109" s="196" t="s">
        <v>155</v>
      </c>
      <c r="F109" s="197">
        <v>45839</v>
      </c>
      <c r="G109" s="196">
        <f t="shared" ref="G109" si="396">DAY(EOMONTH(F109,0))</f>
        <v>31</v>
      </c>
      <c r="H109" s="198">
        <f t="shared" si="239"/>
        <v>45851</v>
      </c>
      <c r="I109" s="199">
        <f>'Modelling New'!$AQ$1</f>
        <v>11.72</v>
      </c>
      <c r="J109" s="30">
        <f>'Raw Data'!K110/J$1</f>
        <v>4.4689280458815981</v>
      </c>
      <c r="K109" s="30">
        <f>'Raw Data'!L110/K$1</f>
        <v>4.4436676750992641</v>
      </c>
      <c r="L109" s="30">
        <f>'Raw Data'!M110/L$1</f>
        <v>4.3372373635618926</v>
      </c>
      <c r="M109" s="30">
        <f>'Raw Data'!N110/M$1</f>
        <v>4.5757497730013963</v>
      </c>
      <c r="N109" s="30">
        <f>'Raw Data'!O110/N$1</f>
        <v>4.5151118382460318</v>
      </c>
      <c r="O109" s="30">
        <f>'Raw Data'!P110/O$1</f>
        <v>4.5559405940594058</v>
      </c>
      <c r="P109" s="30">
        <f t="shared" ref="P109" si="397">IFERROR(AVERAGEIF(J109:O109,"&gt;"&amp;0,J109:O109),"")</f>
        <v>4.4827725483082643</v>
      </c>
      <c r="Q109" s="30">
        <f t="shared" ref="Q109" si="398">MAXA(J109:O109)</f>
        <v>4.5757497730013963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8"/>
  <sheetViews>
    <sheetView zoomScale="106" zoomScaleNormal="106" workbookViewId="0">
      <pane xSplit="1" ySplit="1" topLeftCell="B93" activePane="bottomRight" state="frozen"/>
      <selection pane="topRight" activeCell="B1" sqref="B1"/>
      <selection pane="bottomLeft" activeCell="A2" sqref="A2"/>
      <selection pane="bottomRight" activeCell="A109" sqref="A109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101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16">
        <f t="shared" ref="A95" si="195">YEAR(H95)+IF(MONTH(H95)&gt;=4,1,0)</f>
        <v>2026</v>
      </c>
      <c r="B95" s="217">
        <f t="shared" ref="B95" si="196">YEAR(H95)</f>
        <v>2025</v>
      </c>
      <c r="C95" s="209" t="str">
        <f>TEXT(Table5[[#This Row],[Date]],"yyyy")</f>
        <v>2025</v>
      </c>
      <c r="D95" s="209" t="s">
        <v>224</v>
      </c>
      <c r="E95" s="209" t="s">
        <v>224</v>
      </c>
      <c r="F95" s="210" t="str">
        <f>TEXT(Table5[[#This Row],[Date]],"mmm-yy")</f>
        <v>Jun-25</v>
      </c>
      <c r="G95" s="209">
        <f t="shared" ref="G95" si="197">DAY(EOMONTH(F95,0))</f>
        <v>30</v>
      </c>
      <c r="H95" s="211">
        <f t="shared" si="125"/>
        <v>45838</v>
      </c>
      <c r="I95" s="209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  <row r="96" spans="1:21">
      <c r="A96" s="216">
        <f t="shared" ref="A96" si="198">YEAR(H96)+IF(MONTH(H96)&gt;=4,1,0)</f>
        <v>2026</v>
      </c>
      <c r="B96" s="217">
        <f t="shared" ref="B96" si="199">YEAR(H96)</f>
        <v>2025</v>
      </c>
      <c r="C96" s="209" t="str">
        <f>TEXT(Table5[[#This Row],[Date]],"yyyy")</f>
        <v>2025</v>
      </c>
      <c r="D96" s="209" t="s">
        <v>224</v>
      </c>
      <c r="E96" s="209" t="s">
        <v>224</v>
      </c>
      <c r="F96" s="210" t="str">
        <f>TEXT(Table5[[#This Row],[Date]],"mmm-yy")</f>
        <v>Jul-25</v>
      </c>
      <c r="G96" s="209">
        <f t="shared" ref="G96" si="200">DAY(EOMONTH(F96,0))</f>
        <v>31</v>
      </c>
      <c r="H96" s="211">
        <f t="shared" si="125"/>
        <v>45839</v>
      </c>
      <c r="I96" s="209">
        <v>11.72</v>
      </c>
      <c r="J96" s="212">
        <f>IFERROR(Inv_SY!J97/Inv_SY!$P97-1,"")</f>
        <v>-5.9109953560176898E-5</v>
      </c>
      <c r="K96" s="212">
        <f>IFERROR(Inv_SY!K97/Inv_SY!$P97-1,"")</f>
        <v>1.3124660119838261E-2</v>
      </c>
      <c r="L96" s="212">
        <f>IFERROR(Inv_SY!L97/Inv_SY!$P97-1,"")</f>
        <v>6.0977655835046107E-3</v>
      </c>
      <c r="M96" s="212">
        <f>IFERROR(Inv_SY!M97/Inv_SY!$P97-1,"")</f>
        <v>5.066108082171894E-3</v>
      </c>
      <c r="N96" s="212">
        <f>IFERROR(Inv_SY!N97/Inv_SY!$P97-1,"")</f>
        <v>-1.756697155890441E-2</v>
      </c>
      <c r="O96" s="212">
        <f>IFERROR(Inv_SY!O97/Inv_SY!$P97-1,"")</f>
        <v>-6.66245227305029E-3</v>
      </c>
      <c r="P96" s="212">
        <f>IFERROR(Inv_SY!P97/Inv_SY!$P97-1,"")</f>
        <v>0</v>
      </c>
      <c r="Q96" s="212">
        <f>IFERROR(Inv_SY!Q97/Inv_SY!$P97-1,"")</f>
        <v>1.3124660119838261E-2</v>
      </c>
      <c r="R96" s="212">
        <f>IFERROR(Inv_SY!L97/Inv_SY!$Q97-1,"")</f>
        <v>-6.9358636828588116E-3</v>
      </c>
      <c r="S96" s="212">
        <f>IFERROR(Inv_SY!M97/Inv_SY!$Q97-1,"")</f>
        <v>-7.9541564378792229E-3</v>
      </c>
      <c r="T96" s="212">
        <f>IFERROR(Inv_SY!N97/Inv_SY!$Q97-1,"")</f>
        <v>-3.0294032794653702E-2</v>
      </c>
      <c r="U96" s="213">
        <f>IFERROR(Inv_SY!O97/Inv_SY!$Q97-1,"")</f>
        <v>-1.9530777575336167E-2</v>
      </c>
    </row>
    <row r="97" spans="1:21">
      <c r="A97" s="216">
        <f t="shared" ref="A97" si="201">YEAR(H97)+IF(MONTH(H97)&gt;=4,1,0)</f>
        <v>2026</v>
      </c>
      <c r="B97" s="217">
        <f t="shared" ref="B97" si="202">YEAR(H97)</f>
        <v>2025</v>
      </c>
      <c r="C97" s="209" t="str">
        <f>TEXT(Table5[[#This Row],[Date]],"yyyy")</f>
        <v>2025</v>
      </c>
      <c r="D97" s="209" t="s">
        <v>224</v>
      </c>
      <c r="E97" s="209" t="s">
        <v>224</v>
      </c>
      <c r="F97" s="210" t="str">
        <f>TEXT(Table5[[#This Row],[Date]],"mmm-yy")</f>
        <v>Jul-25</v>
      </c>
      <c r="G97" s="209">
        <f t="shared" ref="G97" si="203">DAY(EOMONTH(F97,0))</f>
        <v>31</v>
      </c>
      <c r="H97" s="211">
        <f t="shared" si="125"/>
        <v>45840</v>
      </c>
      <c r="I97" s="209">
        <v>11.72</v>
      </c>
      <c r="J97" s="212">
        <f>IFERROR(Inv_SY!J98/Inv_SY!$P98-1,"")</f>
        <v>-2.8992371907526904E-3</v>
      </c>
      <c r="K97" s="212">
        <f>IFERROR(Inv_SY!K98/Inv_SY!$P98-1,"")</f>
        <v>8.6924512308024227E-3</v>
      </c>
      <c r="L97" s="212">
        <f>IFERROR(Inv_SY!L98/Inv_SY!$P98-1,"")</f>
        <v>1.5055863150068571E-3</v>
      </c>
      <c r="M97" s="212">
        <f>IFERROR(Inv_SY!M98/Inv_SY!$P98-1,"")</f>
        <v>-8.4714885524728167E-4</v>
      </c>
      <c r="N97" s="212">
        <f>IFERROR(Inv_SY!N98/Inv_SY!$P98-1,"")</f>
        <v>-7.1205951500499243E-3</v>
      </c>
      <c r="O97" s="212">
        <f>IFERROR(Inv_SY!O98/Inv_SY!$P98-1,"")</f>
        <v>6.6894365024072755E-4</v>
      </c>
      <c r="P97" s="212">
        <f>IFERROR(Inv_SY!P98/Inv_SY!$P98-1,"")</f>
        <v>0</v>
      </c>
      <c r="Q97" s="212">
        <f>IFERROR(Inv_SY!Q98/Inv_SY!$P98-1,"")</f>
        <v>8.6924512308024227E-3</v>
      </c>
      <c r="R97" s="212">
        <f>IFERROR(Inv_SY!L98/Inv_SY!$Q98-1,"")</f>
        <v>-7.1249317936563639E-3</v>
      </c>
      <c r="S97" s="212">
        <f>IFERROR(Inv_SY!M98/Inv_SY!$Q98-1,"")</f>
        <v>-9.4573921658772653E-3</v>
      </c>
      <c r="T97" s="212">
        <f>IFERROR(Inv_SY!N98/Inv_SY!$Q98-1,"")</f>
        <v>-1.5676776763380418E-2</v>
      </c>
      <c r="U97" s="213">
        <f>IFERROR(Inv_SY!O98/Inv_SY!$Q98-1,"")</f>
        <v>-7.9543646537372226E-3</v>
      </c>
    </row>
    <row r="98" spans="1:21">
      <c r="A98" s="216">
        <f t="shared" ref="A98" si="204">YEAR(H98)+IF(MONTH(H98)&gt;=4,1,0)</f>
        <v>2026</v>
      </c>
      <c r="B98" s="217">
        <f t="shared" ref="B98" si="205">YEAR(H98)</f>
        <v>2025</v>
      </c>
      <c r="C98" s="209" t="str">
        <f>TEXT(Table5[[#This Row],[Date]],"yyyy")</f>
        <v>2025</v>
      </c>
      <c r="D98" s="209" t="s">
        <v>224</v>
      </c>
      <c r="E98" s="209" t="s">
        <v>224</v>
      </c>
      <c r="F98" s="210" t="str">
        <f>TEXT(Table5[[#This Row],[Date]],"mmm-yy")</f>
        <v>Jul-25</v>
      </c>
      <c r="G98" s="209">
        <f t="shared" ref="G98" si="206">DAY(EOMONTH(F98,0))</f>
        <v>31</v>
      </c>
      <c r="H98" s="211">
        <f t="shared" si="125"/>
        <v>45841</v>
      </c>
      <c r="I98" s="209">
        <v>11.72</v>
      </c>
      <c r="J98" s="212">
        <f>IFERROR(Inv_SY!J99/Inv_SY!$P99-1,"")</f>
        <v>4.442670398621118E-3</v>
      </c>
      <c r="K98" s="212">
        <f>IFERROR(Inv_SY!K99/Inv_SY!$P99-1,"")</f>
        <v>6.7435491981517881E-3</v>
      </c>
      <c r="L98" s="212">
        <f>IFERROR(Inv_SY!L99/Inv_SY!$P99-1,"")</f>
        <v>-8.0949493700954722E-4</v>
      </c>
      <c r="M98" s="212">
        <f>IFERROR(Inv_SY!M99/Inv_SY!$P99-1,"")</f>
        <v>-9.4632235342673177E-5</v>
      </c>
      <c r="N98" s="212">
        <f>IFERROR(Inv_SY!N99/Inv_SY!$P99-1,"")</f>
        <v>-1.5308173068286579E-2</v>
      </c>
      <c r="O98" s="212">
        <f>IFERROR(Inv_SY!O99/Inv_SY!$P99-1,"")</f>
        <v>5.0260806438671146E-3</v>
      </c>
      <c r="P98" s="212">
        <f>IFERROR(Inv_SY!P99/Inv_SY!$P99-1,"")</f>
        <v>0</v>
      </c>
      <c r="Q98" s="212">
        <f>IFERROR(Inv_SY!Q99/Inv_SY!$P99-1,"")</f>
        <v>6.7435491981517881E-3</v>
      </c>
      <c r="R98" s="212">
        <f>IFERROR(Inv_SY!L99/Inv_SY!$Q99-1,"")</f>
        <v>-7.502450987818321E-3</v>
      </c>
      <c r="S98" s="212">
        <f>IFERROR(Inv_SY!M99/Inv_SY!$Q99-1,"")</f>
        <v>-6.7923767069983931E-3</v>
      </c>
      <c r="T98" s="212">
        <f>IFERROR(Inv_SY!N99/Inv_SY!$Q99-1,"")</f>
        <v>-2.1904011487336672E-2</v>
      </c>
      <c r="U98" s="213">
        <f>IFERROR(Inv_SY!O99/Inv_SY!$Q99-1,"")</f>
        <v>-1.7059643000966185E-3</v>
      </c>
    </row>
    <row r="99" spans="1:21">
      <c r="A99" s="216">
        <f t="shared" ref="A99" si="207">YEAR(H99)+IF(MONTH(H99)&gt;=4,1,0)</f>
        <v>2026</v>
      </c>
      <c r="B99" s="217">
        <f t="shared" ref="B99" si="208">YEAR(H99)</f>
        <v>2025</v>
      </c>
      <c r="C99" s="209" t="str">
        <f>TEXT(Table5[[#This Row],[Date]],"yyyy")</f>
        <v>2025</v>
      </c>
      <c r="D99" s="209" t="s">
        <v>224</v>
      </c>
      <c r="E99" s="209" t="s">
        <v>224</v>
      </c>
      <c r="F99" s="210" t="str">
        <f>TEXT(Table5[[#This Row],[Date]],"mmm-yy")</f>
        <v>Jul-25</v>
      </c>
      <c r="G99" s="209">
        <f t="shared" ref="G99" si="209">DAY(EOMONTH(F99,0))</f>
        <v>31</v>
      </c>
      <c r="H99" s="211">
        <f t="shared" si="125"/>
        <v>45842</v>
      </c>
      <c r="I99" s="209">
        <v>11.72</v>
      </c>
      <c r="J99" s="212">
        <f>IFERROR(Inv_SY!J100/Inv_SY!$P100-1,"")</f>
        <v>-7.4651074265167372E-3</v>
      </c>
      <c r="K99" s="212">
        <f>IFERROR(Inv_SY!K100/Inv_SY!$P100-1,"")</f>
        <v>-9.5444259243014917E-3</v>
      </c>
      <c r="L99" s="212">
        <f>IFERROR(Inv_SY!L100/Inv_SY!$P100-1,"")</f>
        <v>-1.574880756879149E-2</v>
      </c>
      <c r="M99" s="212">
        <f>IFERROR(Inv_SY!M100/Inv_SY!$P100-1,"")</f>
        <v>7.1205008508694601E-3</v>
      </c>
      <c r="N99" s="212">
        <f>IFERROR(Inv_SY!N100/Inv_SY!$P100-1,"")</f>
        <v>3.907125209588358E-3</v>
      </c>
      <c r="O99" s="212">
        <f>IFERROR(Inv_SY!O100/Inv_SY!$P100-1,"")</f>
        <v>2.1730714859153011E-2</v>
      </c>
      <c r="P99" s="212">
        <f>IFERROR(Inv_SY!P100/Inv_SY!$P100-1,"")</f>
        <v>0</v>
      </c>
      <c r="Q99" s="212">
        <f>IFERROR(Inv_SY!Q100/Inv_SY!$P100-1,"")</f>
        <v>2.1730714859153011E-2</v>
      </c>
      <c r="R99" s="212">
        <f>IFERROR(Inv_SY!L100/Inv_SY!$Q100-1,"")</f>
        <v>-3.6682387915793702E-2</v>
      </c>
      <c r="S99" s="212">
        <f>IFERROR(Inv_SY!M100/Inv_SY!$Q100-1,"")</f>
        <v>-1.4299476169019276E-2</v>
      </c>
      <c r="T99" s="212">
        <f>IFERROR(Inv_SY!N100/Inv_SY!$Q100-1,"")</f>
        <v>-1.7444508019925475E-2</v>
      </c>
      <c r="U99" s="213">
        <f>IFERROR(Inv_SY!O100/Inv_SY!$Q100-1,"")</f>
        <v>0</v>
      </c>
    </row>
    <row r="100" spans="1:21">
      <c r="A100" s="216">
        <f t="shared" ref="A100" si="210">YEAR(H100)+IF(MONTH(H100)&gt;=4,1,0)</f>
        <v>2026</v>
      </c>
      <c r="B100" s="217">
        <f t="shared" ref="B100" si="211">YEAR(H100)</f>
        <v>2025</v>
      </c>
      <c r="C100" s="209" t="str">
        <f>TEXT(Table5[[#This Row],[Date]],"yyyy")</f>
        <v>2025</v>
      </c>
      <c r="D100" s="209" t="s">
        <v>224</v>
      </c>
      <c r="E100" s="209" t="s">
        <v>224</v>
      </c>
      <c r="F100" s="210" t="str">
        <f>TEXT(Table5[[#This Row],[Date]],"mmm-yy")</f>
        <v>Jul-25</v>
      </c>
      <c r="G100" s="209">
        <f t="shared" ref="G100" si="212">DAY(EOMONTH(F100,0))</f>
        <v>31</v>
      </c>
      <c r="H100" s="211">
        <f t="shared" si="125"/>
        <v>45843</v>
      </c>
      <c r="I100" s="209">
        <v>11.72</v>
      </c>
      <c r="J100" s="212">
        <f>IFERROR(Inv_SY!J101/Inv_SY!$P101-1,"")</f>
        <v>-2.7360281975014833E-2</v>
      </c>
      <c r="K100" s="212">
        <f>IFERROR(Inv_SY!K101/Inv_SY!$P101-1,"")</f>
        <v>1.7978164432357335E-3</v>
      </c>
      <c r="L100" s="212">
        <f>IFERROR(Inv_SY!L101/Inv_SY!$P101-1,"")</f>
        <v>-1.1803398703711943E-2</v>
      </c>
      <c r="M100" s="212">
        <f>IFERROR(Inv_SY!M101/Inv_SY!$P101-1,"")</f>
        <v>1.4450330890905194E-2</v>
      </c>
      <c r="N100" s="212">
        <f>IFERROR(Inv_SY!N101/Inv_SY!$P101-1,"")</f>
        <v>1.8760725482871443E-3</v>
      </c>
      <c r="O100" s="212">
        <f>IFERROR(Inv_SY!O101/Inv_SY!$P101-1,"")</f>
        <v>2.1039460796298703E-2</v>
      </c>
      <c r="P100" s="212">
        <f>IFERROR(Inv_SY!P101/Inv_SY!$P101-1,"")</f>
        <v>0</v>
      </c>
      <c r="Q100" s="212">
        <f>IFERROR(Inv_SY!Q101/Inv_SY!$P101-1,"")</f>
        <v>2.1039460796298703E-2</v>
      </c>
      <c r="R100" s="212">
        <f>IFERROR(Inv_SY!L101/Inv_SY!$Q101-1,"")</f>
        <v>-3.216610205681647E-2</v>
      </c>
      <c r="S100" s="212">
        <f>IFERROR(Inv_SY!M101/Inv_SY!$Q101-1,"")</f>
        <v>-6.453354800072586E-3</v>
      </c>
      <c r="T100" s="212">
        <f>IFERROR(Inv_SY!N101/Inv_SY!$Q101-1,"")</f>
        <v>-1.8768508939964179E-2</v>
      </c>
      <c r="U100" s="213">
        <f>IFERROR(Inv_SY!O101/Inv_SY!$Q101-1,"")</f>
        <v>0</v>
      </c>
    </row>
    <row r="101" spans="1:21">
      <c r="A101" s="216">
        <f t="shared" ref="A101:A102" si="213">YEAR(H101)+IF(MONTH(H101)&gt;=4,1,0)</f>
        <v>2026</v>
      </c>
      <c r="B101" s="217">
        <f t="shared" ref="B101:B102" si="214">YEAR(H101)</f>
        <v>2025</v>
      </c>
      <c r="C101" s="209" t="str">
        <f>TEXT(Table5[[#This Row],[Date]],"yyyy")</f>
        <v>2025</v>
      </c>
      <c r="D101" s="209" t="s">
        <v>224</v>
      </c>
      <c r="E101" s="209" t="s">
        <v>224</v>
      </c>
      <c r="F101" s="210" t="str">
        <f>TEXT(Table5[[#This Row],[Date]],"mmm-yy")</f>
        <v>Jul-25</v>
      </c>
      <c r="G101" s="209">
        <f t="shared" ref="G101" si="215">DAY(EOMONTH(F101,0))</f>
        <v>31</v>
      </c>
      <c r="H101" s="211">
        <f t="shared" si="125"/>
        <v>45844</v>
      </c>
      <c r="I101" s="209">
        <v>11.72</v>
      </c>
      <c r="J101" s="212">
        <f>IFERROR(Inv_SY!J102/Inv_SY!$P102-1,"")</f>
        <v>-3.129238811718893E-3</v>
      </c>
      <c r="K101" s="212">
        <f>IFERROR(Inv_SY!K102/Inv_SY!$P102-1,"")</f>
        <v>3.3976215498510154E-3</v>
      </c>
      <c r="L101" s="212">
        <f>IFERROR(Inv_SY!L102/Inv_SY!$P102-1,"")</f>
        <v>-1.8656480247185026E-2</v>
      </c>
      <c r="M101" s="212">
        <f>IFERROR(Inv_SY!M102/Inv_SY!$P102-1,"")</f>
        <v>1.1290250471194918E-2</v>
      </c>
      <c r="N101" s="212">
        <f>IFERROR(Inv_SY!N102/Inv_SY!$P102-1,"")</f>
        <v>1.3107576610196237E-3</v>
      </c>
      <c r="O101" s="212">
        <f>IFERROR(Inv_SY!O102/Inv_SY!$P102-1,"")</f>
        <v>5.7870893768379172E-3</v>
      </c>
      <c r="P101" s="212">
        <f>IFERROR(Inv_SY!P102/Inv_SY!$P102-1,"")</f>
        <v>0</v>
      </c>
      <c r="Q101" s="212">
        <f>IFERROR(Inv_SY!Q102/Inv_SY!$P102-1,"")</f>
        <v>1.1290250471194918E-2</v>
      </c>
      <c r="R101" s="212">
        <f>IFERROR(Inv_SY!L102/Inv_SY!$Q102-1,"")</f>
        <v>-2.9612399313082238E-2</v>
      </c>
      <c r="S101" s="212">
        <f>IFERROR(Inv_SY!M102/Inv_SY!$Q102-1,"")</f>
        <v>0</v>
      </c>
      <c r="T101" s="212">
        <f>IFERROR(Inv_SY!N102/Inv_SY!$Q102-1,"")</f>
        <v>-9.8680797184838021E-3</v>
      </c>
      <c r="U101" s="213">
        <f>IFERROR(Inv_SY!O102/Inv_SY!$Q102-1,"")</f>
        <v>-5.4417226822792708E-3</v>
      </c>
    </row>
    <row r="102" spans="1:21">
      <c r="A102" s="216">
        <f t="shared" si="213"/>
        <v>2026</v>
      </c>
      <c r="B102" s="217">
        <f t="shared" si="214"/>
        <v>2025</v>
      </c>
      <c r="C102" s="209" t="str">
        <f>TEXT(Table5[[#This Row],[Date]],"yyyy")</f>
        <v>2025</v>
      </c>
      <c r="D102" s="209" t="s">
        <v>224</v>
      </c>
      <c r="E102" s="209" t="s">
        <v>224</v>
      </c>
      <c r="F102" s="210" t="str">
        <f>TEXT(Table5[[#This Row],[Date]],"mmm-yy")</f>
        <v>Jul-25</v>
      </c>
      <c r="G102" s="209">
        <f t="shared" ref="G102:G107" si="216">DAY(EOMONTH(F102,0))</f>
        <v>31</v>
      </c>
      <c r="H102" s="211">
        <f t="shared" ref="H102:H108" si="217">H101+1</f>
        <v>45845</v>
      </c>
      <c r="I102" s="209">
        <v>11.72</v>
      </c>
      <c r="J102" s="212">
        <f>IFERROR(Inv_SY!J103/Inv_SY!$P103-1,"")</f>
        <v>4.3002265713749654E-3</v>
      </c>
      <c r="K102" s="212">
        <f>IFERROR(Inv_SY!K103/Inv_SY!$P103-1,"")</f>
        <v>8.6099370253374108E-3</v>
      </c>
      <c r="L102" s="212">
        <f>IFERROR(Inv_SY!L103/Inv_SY!$P103-1,"")</f>
        <v>6.0518480223465954E-3</v>
      </c>
      <c r="M102" s="212">
        <f>IFERROR(Inv_SY!M103/Inv_SY!$P103-1,"")</f>
        <v>-3.0980064564134491E-3</v>
      </c>
      <c r="N102" s="212">
        <f>IFERROR(Inv_SY!N103/Inv_SY!$P103-1,"")</f>
        <v>-1.974132041622767E-2</v>
      </c>
      <c r="O102" s="212">
        <f>IFERROR(Inv_SY!O103/Inv_SY!$P103-1,"")</f>
        <v>3.8773152535831468E-3</v>
      </c>
      <c r="P102" s="212">
        <f>IFERROR(Inv_SY!P103/Inv_SY!$P103-1,"")</f>
        <v>0</v>
      </c>
      <c r="Q102" s="212">
        <f>IFERROR(Inv_SY!Q103/Inv_SY!$P103-1,"")</f>
        <v>8.6099370253374108E-3</v>
      </c>
      <c r="R102" s="212">
        <f>IFERROR(Inv_SY!L103/Inv_SY!$Q103-1,"")</f>
        <v>-2.5362520327089078E-3</v>
      </c>
      <c r="S102" s="212">
        <f>IFERROR(Inv_SY!M103/Inv_SY!$Q103-1,"")</f>
        <v>-1.1607999338456687E-2</v>
      </c>
      <c r="T102" s="212">
        <f>IFERROR(Inv_SY!N103/Inv_SY!$Q103-1,"")</f>
        <v>-2.8109238666813696E-2</v>
      </c>
      <c r="U102" s="213">
        <f>IFERROR(Inv_SY!O103/Inv_SY!$Q103-1,"")</f>
        <v>-4.6922220355195554E-3</v>
      </c>
    </row>
    <row r="103" spans="1:21">
      <c r="A103" s="216">
        <f t="shared" ref="A103" si="218">YEAR(H103)+IF(MONTH(H103)&gt;=4,1,0)</f>
        <v>2026</v>
      </c>
      <c r="B103" s="217">
        <f t="shared" ref="B103" si="219">YEAR(H103)</f>
        <v>2025</v>
      </c>
      <c r="C103" s="209" t="str">
        <f>TEXT(Table5[[#This Row],[Date]],"yyyy")</f>
        <v>2025</v>
      </c>
      <c r="D103" s="209" t="s">
        <v>224</v>
      </c>
      <c r="E103" s="209" t="s">
        <v>224</v>
      </c>
      <c r="F103" s="210" t="str">
        <f>TEXT(Table5[[#This Row],[Date]],"mmm-yy")</f>
        <v>Jul-25</v>
      </c>
      <c r="G103" s="209">
        <f t="shared" si="216"/>
        <v>31</v>
      </c>
      <c r="H103" s="211">
        <f t="shared" si="217"/>
        <v>45846</v>
      </c>
      <c r="I103" s="209">
        <v>11.72</v>
      </c>
      <c r="J103" s="212">
        <f>IFERROR(Inv_SY!J104/Inv_SY!$P104-1,"")</f>
        <v>7.6995507674371133E-3</v>
      </c>
      <c r="K103" s="212">
        <f>IFERROR(Inv_SY!K104/Inv_SY!$P104-1,"")</f>
        <v>3.77030860180394E-3</v>
      </c>
      <c r="L103" s="212">
        <f>IFERROR(Inv_SY!L104/Inv_SY!$P104-1,"")</f>
        <v>-8.300304029404626E-3</v>
      </c>
      <c r="M103" s="212">
        <f>IFERROR(Inv_SY!M104/Inv_SY!$P104-1,"")</f>
        <v>5.538181380506213E-3</v>
      </c>
      <c r="N103" s="212">
        <f>IFERROR(Inv_SY!N104/Inv_SY!$P104-1,"")</f>
        <v>-1.8589033292319312E-2</v>
      </c>
      <c r="O103" s="212">
        <f>IFERROR(Inv_SY!O104/Inv_SY!$P104-1,"")</f>
        <v>9.8812965719772272E-3</v>
      </c>
      <c r="P103" s="212">
        <f>IFERROR(Inv_SY!P104/Inv_SY!$P104-1,"")</f>
        <v>0</v>
      </c>
      <c r="Q103" s="212">
        <f>IFERROR(Inv_SY!Q104/Inv_SY!$P104-1,"")</f>
        <v>9.8812965719772272E-3</v>
      </c>
      <c r="R103" s="212">
        <f>IFERROR(Inv_SY!L104/Inv_SY!$Q104-1,"")</f>
        <v>-1.8003700695417346E-2</v>
      </c>
      <c r="S103" s="212">
        <f>IFERROR(Inv_SY!M104/Inv_SY!$Q104-1,"")</f>
        <v>-4.3006194947996512E-3</v>
      </c>
      <c r="T103" s="212">
        <f>IFERROR(Inv_SY!N104/Inv_SY!$Q104-1,"")</f>
        <v>-2.8191758735346961E-2</v>
      </c>
      <c r="U103" s="213">
        <f>IFERROR(Inv_SY!O104/Inv_SY!$Q104-1,"")</f>
        <v>0</v>
      </c>
    </row>
    <row r="104" spans="1:21">
      <c r="A104" s="216">
        <f t="shared" ref="A104" si="220">YEAR(H104)+IF(MONTH(H104)&gt;=4,1,0)</f>
        <v>2026</v>
      </c>
      <c r="B104" s="217">
        <f t="shared" ref="B104" si="221">YEAR(H104)</f>
        <v>2025</v>
      </c>
      <c r="C104" s="209" t="str">
        <f>TEXT(Table5[[#This Row],[Date]],"yyyy")</f>
        <v>2025</v>
      </c>
      <c r="D104" s="209" t="s">
        <v>224</v>
      </c>
      <c r="E104" s="209" t="s">
        <v>224</v>
      </c>
      <c r="F104" s="210" t="str">
        <f>TEXT(Table5[[#This Row],[Date]],"mmm-yy")</f>
        <v>Jul-25</v>
      </c>
      <c r="G104" s="209">
        <f t="shared" si="216"/>
        <v>31</v>
      </c>
      <c r="H104" s="211">
        <f t="shared" si="217"/>
        <v>45847</v>
      </c>
      <c r="I104" s="209">
        <v>11.72</v>
      </c>
      <c r="J104" s="212">
        <f>IFERROR(Inv_SY!J105/Inv_SY!$P105-1,"")</f>
        <v>8.9345713952082573E-3</v>
      </c>
      <c r="K104" s="212">
        <f>IFERROR(Inv_SY!K105/Inv_SY!$P105-1,"")</f>
        <v>-7.0798795443853813E-3</v>
      </c>
      <c r="L104" s="212">
        <f>IFERROR(Inv_SY!L105/Inv_SY!$P105-1,"")</f>
        <v>-1.6047640018159948E-2</v>
      </c>
      <c r="M104" s="212">
        <f>IFERROR(Inv_SY!M105/Inv_SY!$P105-1,"")</f>
        <v>1.7718607055188684E-2</v>
      </c>
      <c r="N104" s="212">
        <f>IFERROR(Inv_SY!N105/Inv_SY!$P105-1,"")</f>
        <v>-1.5162438716943782E-2</v>
      </c>
      <c r="O104" s="212">
        <f>IFERROR(Inv_SY!O105/Inv_SY!$P105-1,"")</f>
        <v>1.1636779829092392E-2</v>
      </c>
      <c r="P104" s="212">
        <f>IFERROR(Inv_SY!P105/Inv_SY!$P105-1,"")</f>
        <v>0</v>
      </c>
      <c r="Q104" s="212">
        <f>IFERROR(Inv_SY!Q105/Inv_SY!$P105-1,"")</f>
        <v>1.7718607055188684E-2</v>
      </c>
      <c r="R104" s="212">
        <f>IFERROR(Inv_SY!L105/Inv_SY!$Q105-1,"")</f>
        <v>-3.3178372527798095E-2</v>
      </c>
      <c r="S104" s="212">
        <f>IFERROR(Inv_SY!M105/Inv_SY!$Q105-1,"")</f>
        <v>0</v>
      </c>
      <c r="T104" s="212">
        <f>IFERROR(Inv_SY!N105/Inv_SY!$Q105-1,"")</f>
        <v>-3.2308582690922072E-2</v>
      </c>
      <c r="U104" s="213">
        <f>IFERROR(Inv_SY!O105/Inv_SY!$Q105-1,"")</f>
        <v>-5.9759418604857784E-3</v>
      </c>
    </row>
    <row r="105" spans="1:21">
      <c r="A105" s="216">
        <f t="shared" ref="A105" si="222">YEAR(H105)+IF(MONTH(H105)&gt;=4,1,0)</f>
        <v>2026</v>
      </c>
      <c r="B105" s="217">
        <f t="shared" ref="B105" si="223">YEAR(H105)</f>
        <v>2025</v>
      </c>
      <c r="C105" s="209" t="str">
        <f>TEXT(Table5[[#This Row],[Date]],"yyyy")</f>
        <v>2025</v>
      </c>
      <c r="D105" s="209" t="s">
        <v>224</v>
      </c>
      <c r="E105" s="209" t="s">
        <v>224</v>
      </c>
      <c r="F105" s="210" t="str">
        <f>TEXT(Table5[[#This Row],[Date]],"mmm-yy")</f>
        <v>Jul-25</v>
      </c>
      <c r="G105" s="209">
        <f t="shared" si="216"/>
        <v>31</v>
      </c>
      <c r="H105" s="211">
        <f t="shared" si="217"/>
        <v>45848</v>
      </c>
      <c r="I105" s="209">
        <v>11.72</v>
      </c>
      <c r="J105" s="212">
        <f>IFERROR(Inv_SY!J106/Inv_SY!$P106-1,"")</f>
        <v>-2.3638084998764963E-3</v>
      </c>
      <c r="K105" s="212">
        <f>IFERROR(Inv_SY!K106/Inv_SY!$P106-1,"")</f>
        <v>-1.1773221185545357E-2</v>
      </c>
      <c r="L105" s="212">
        <f>IFERROR(Inv_SY!L106/Inv_SY!$P106-1,"")</f>
        <v>-2.7926900372362784E-2</v>
      </c>
      <c r="M105" s="212">
        <f>IFERROR(Inv_SY!M106/Inv_SY!$P106-1,"")</f>
        <v>2.0746235725737527E-2</v>
      </c>
      <c r="N105" s="212">
        <f>IFERROR(Inv_SY!N106/Inv_SY!$P106-1,"")</f>
        <v>7.0167377564129829E-3</v>
      </c>
      <c r="O105" s="212">
        <f>IFERROR(Inv_SY!O106/Inv_SY!$P106-1,"")</f>
        <v>1.4300956575634682E-2</v>
      </c>
      <c r="P105" s="212">
        <f>IFERROR(Inv_SY!P106/Inv_SY!$P106-1,"")</f>
        <v>0</v>
      </c>
      <c r="Q105" s="212">
        <f>IFERROR(Inv_SY!Q106/Inv_SY!$P106-1,"")</f>
        <v>2.0746235725737527E-2</v>
      </c>
      <c r="R105" s="212">
        <f>IFERROR(Inv_SY!L106/Inv_SY!$Q106-1,"")</f>
        <v>-4.768387518323236E-2</v>
      </c>
      <c r="S105" s="212">
        <f>IFERROR(Inv_SY!M106/Inv_SY!$Q106-1,"")</f>
        <v>0</v>
      </c>
      <c r="T105" s="212">
        <f>IFERROR(Inv_SY!N106/Inv_SY!$Q106-1,"")</f>
        <v>-1.3450451727174961E-2</v>
      </c>
      <c r="U105" s="213">
        <f>IFERROR(Inv_SY!O106/Inv_SY!$Q106-1,"")</f>
        <v>-6.3142815760866E-3</v>
      </c>
    </row>
    <row r="106" spans="1:21">
      <c r="A106" s="216">
        <f t="shared" ref="A106" si="224">YEAR(H106)+IF(MONTH(H106)&gt;=4,1,0)</f>
        <v>2026</v>
      </c>
      <c r="B106" s="217">
        <f t="shared" ref="B106" si="225">YEAR(H106)</f>
        <v>2025</v>
      </c>
      <c r="C106" s="209" t="str">
        <f>TEXT(Table5[[#This Row],[Date]],"yyyy")</f>
        <v>2025</v>
      </c>
      <c r="D106" s="209" t="s">
        <v>224</v>
      </c>
      <c r="E106" s="209" t="s">
        <v>224</v>
      </c>
      <c r="F106" s="210" t="str">
        <f>TEXT(Table5[[#This Row],[Date]],"mmm-yy")</f>
        <v>Jul-25</v>
      </c>
      <c r="G106" s="209">
        <f t="shared" si="216"/>
        <v>31</v>
      </c>
      <c r="H106" s="211">
        <f t="shared" si="217"/>
        <v>45849</v>
      </c>
      <c r="I106" s="209">
        <v>11.72</v>
      </c>
      <c r="J106" s="212">
        <f>IFERROR(Inv_SY!J107/Inv_SY!$P107-1,"")</f>
        <v>-8.0358658507396763E-3</v>
      </c>
      <c r="K106" s="212">
        <f>IFERROR(Inv_SY!K107/Inv_SY!$P107-1,"")</f>
        <v>-2.5116305072056311E-2</v>
      </c>
      <c r="L106" s="212">
        <f>IFERROR(Inv_SY!L107/Inv_SY!$P107-1,"")</f>
        <v>-4.3194722170117661E-2</v>
      </c>
      <c r="M106" s="212">
        <f>IFERROR(Inv_SY!M107/Inv_SY!$P107-1,"")</f>
        <v>1.7227880066786661E-2</v>
      </c>
      <c r="N106" s="212">
        <f>IFERROR(Inv_SY!N107/Inv_SY!$P107-1,"")</f>
        <v>2.881834942428152E-2</v>
      </c>
      <c r="O106" s="212">
        <f>IFERROR(Inv_SY!O107/Inv_SY!$P107-1,"")</f>
        <v>3.0300663601845246E-2</v>
      </c>
      <c r="P106" s="212">
        <f>IFERROR(Inv_SY!P107/Inv_SY!$P107-1,"")</f>
        <v>0</v>
      </c>
      <c r="Q106" s="212">
        <f>IFERROR(Inv_SY!Q107/Inv_SY!$P107-1,"")</f>
        <v>3.0300663601845246E-2</v>
      </c>
      <c r="R106" s="212">
        <f>IFERROR(Inv_SY!L107/Inv_SY!$Q107-1,"")</f>
        <v>-7.1333920639271464E-2</v>
      </c>
      <c r="S106" s="212">
        <f>IFERROR(Inv_SY!M107/Inv_SY!$Q107-1,"")</f>
        <v>-1.2688319047914676E-2</v>
      </c>
      <c r="T106" s="212">
        <f>IFERROR(Inv_SY!N107/Inv_SY!$Q107-1,"")</f>
        <v>-1.4387200066255934E-3</v>
      </c>
      <c r="U106" s="213">
        <f>IFERROR(Inv_SY!O107/Inv_SY!$Q107-1,"")</f>
        <v>0</v>
      </c>
    </row>
    <row r="107" spans="1:21">
      <c r="A107" s="216">
        <f t="shared" ref="A107" si="226">YEAR(H107)+IF(MONTH(H107)&gt;=4,1,0)</f>
        <v>2026</v>
      </c>
      <c r="B107" s="217">
        <f t="shared" ref="B107" si="227">YEAR(H107)</f>
        <v>2025</v>
      </c>
      <c r="C107" s="209" t="str">
        <f>TEXT(Table5[[#This Row],[Date]],"yyyy")</f>
        <v>2025</v>
      </c>
      <c r="D107" s="209" t="s">
        <v>224</v>
      </c>
      <c r="E107" s="209" t="s">
        <v>224</v>
      </c>
      <c r="F107" s="210" t="str">
        <f>TEXT(Table5[[#This Row],[Date]],"mmm-yy")</f>
        <v>Jul-25</v>
      </c>
      <c r="G107" s="209">
        <f t="shared" si="216"/>
        <v>31</v>
      </c>
      <c r="H107" s="211">
        <f t="shared" si="217"/>
        <v>45850</v>
      </c>
      <c r="I107" s="209">
        <v>11.72</v>
      </c>
      <c r="J107" s="212">
        <f>IFERROR(Inv_SY!J108/Inv_SY!$P108-1,"")</f>
        <v>-1.020717560258666E-2</v>
      </c>
      <c r="K107" s="212">
        <f>IFERROR(Inv_SY!K108/Inv_SY!$P108-1,"")</f>
        <v>-2.0919887404384108E-2</v>
      </c>
      <c r="L107" s="212">
        <f>IFERROR(Inv_SY!L108/Inv_SY!$P108-1,"")</f>
        <v>-4.397873299915378E-2</v>
      </c>
      <c r="M107" s="212">
        <f>IFERROR(Inv_SY!M108/Inv_SY!$P108-1,"")</f>
        <v>2.6613358197846493E-2</v>
      </c>
      <c r="N107" s="212">
        <f>IFERROR(Inv_SY!N108/Inv_SY!$P108-1,"")</f>
        <v>2.4061609791289573E-2</v>
      </c>
      <c r="O107" s="212">
        <f>IFERROR(Inv_SY!O108/Inv_SY!$P108-1,"")</f>
        <v>2.4430828016988038E-2</v>
      </c>
      <c r="P107" s="212">
        <f>IFERROR(Inv_SY!P108/Inv_SY!$P108-1,"")</f>
        <v>0</v>
      </c>
      <c r="Q107" s="212">
        <f>IFERROR(Inv_SY!Q108/Inv_SY!$P108-1,"")</f>
        <v>2.6613358197846493E-2</v>
      </c>
      <c r="R107" s="212">
        <f>IFERROR(Inv_SY!L108/Inv_SY!$Q108-1,"")</f>
        <v>-6.8762100778544388E-2</v>
      </c>
      <c r="S107" s="212">
        <f>IFERROR(Inv_SY!M108/Inv_SY!$Q108-1,"")</f>
        <v>0</v>
      </c>
      <c r="T107" s="212">
        <f>IFERROR(Inv_SY!N108/Inv_SY!$Q108-1,"")</f>
        <v>-2.4855982889570027E-3</v>
      </c>
      <c r="U107" s="213">
        <f>IFERROR(Inv_SY!O108/Inv_SY!$Q108-1,"")</f>
        <v>-2.1259514728014794E-3</v>
      </c>
    </row>
    <row r="108" spans="1:21">
      <c r="A108" s="234">
        <f t="shared" ref="A108" si="228">YEAR(H108)+IF(MONTH(H108)&gt;=4,1,0)</f>
        <v>2026</v>
      </c>
      <c r="B108" s="235">
        <f t="shared" ref="B108" si="229">YEAR(H108)</f>
        <v>2025</v>
      </c>
      <c r="C108" s="236" t="str">
        <f>TEXT(Table5[[#This Row],[Date]],"yyyy")</f>
        <v>2025</v>
      </c>
      <c r="D108" s="236" t="s">
        <v>224</v>
      </c>
      <c r="E108" s="236" t="s">
        <v>224</v>
      </c>
      <c r="F108" s="237" t="str">
        <f>TEXT(Table5[[#This Row],[Date]],"mmm-yy")</f>
        <v>Jul-25</v>
      </c>
      <c r="G108" s="236">
        <f t="shared" ref="G108" si="230">DAY(EOMONTH(F108,0))</f>
        <v>31</v>
      </c>
      <c r="H108" s="238">
        <f t="shared" si="217"/>
        <v>45851</v>
      </c>
      <c r="I108" s="236">
        <v>11.72</v>
      </c>
      <c r="J108" s="212">
        <f>IFERROR(Inv_SY!J109/Inv_SY!$P109-1,"")</f>
        <v>-3.0883794074920701E-3</v>
      </c>
      <c r="K108" s="212">
        <f>IFERROR(Inv_SY!K109/Inv_SY!$P109-1,"")</f>
        <v>-8.7233676898815782E-3</v>
      </c>
      <c r="L108" s="212">
        <f>IFERROR(Inv_SY!L109/Inv_SY!$P109-1,"")</f>
        <v>-3.2465440344791707E-2</v>
      </c>
      <c r="M108" s="212">
        <f>IFERROR(Inv_SY!M109/Inv_SY!$P109-1,"")</f>
        <v>2.074100875990692E-2</v>
      </c>
      <c r="N108" s="212">
        <f>IFERROR(Inv_SY!N109/Inv_SY!$P109-1,"")</f>
        <v>7.2141268800203218E-3</v>
      </c>
      <c r="O108" s="212">
        <f>IFERROR(Inv_SY!O109/Inv_SY!$P109-1,"")</f>
        <v>1.6322051802238891E-2</v>
      </c>
      <c r="P108" s="212">
        <f>IFERROR(Inv_SY!P109/Inv_SY!$P109-1,"")</f>
        <v>0</v>
      </c>
      <c r="Q108" s="212">
        <f>IFERROR(Inv_SY!Q109/Inv_SY!$P109-1,"")</f>
        <v>2.074100875990692E-2</v>
      </c>
      <c r="R108" s="212">
        <f>IFERROR(Inv_SY!L109/Inv_SY!$Q109-1,"")</f>
        <v>-5.2125317439081664E-2</v>
      </c>
      <c r="S108" s="212">
        <f>IFERROR(Inv_SY!M109/Inv_SY!$Q109-1,"")</f>
        <v>0</v>
      </c>
      <c r="T108" s="212">
        <f>IFERROR(Inv_SY!N109/Inv_SY!$Q109-1,"")</f>
        <v>-1.3252021584123863E-2</v>
      </c>
      <c r="U108" s="213">
        <f>IFERROR(Inv_SY!O109/Inv_SY!$Q109-1,"")</f>
        <v>-4.3291656940840362E-3</v>
      </c>
    </row>
  </sheetData>
  <phoneticPr fontId="34" type="noConversion"/>
  <conditionalFormatting sqref="J2:Q10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10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W8" activePane="bottomRight" state="frozen"/>
      <selection pane="topRight" activeCell="I1" sqref="I1"/>
      <selection pane="bottomLeft" activeCell="A4" sqref="A4"/>
      <selection pane="bottomRight" activeCell="AE20" sqref="AE20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516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1900</v>
      </c>
      <c r="C26" s="129">
        <f t="shared" si="2"/>
        <v>1900</v>
      </c>
      <c r="I26" s="29" t="str">
        <f>IFERROR(VLOOKUP(PA[[#This Row],[Date]],Raw_Data[[Date]:[Sunset Time (POA&lt;20 W/m2)]],3,0),"")</f>
        <v/>
      </c>
      <c r="J26" s="29" t="str">
        <f>IFERROR(VLOOKUP(PA[[#This Row],[Date]],Raw_Data[[Date]:[Sunset Time (POA&lt;20 W/m2)]],4,0),"")</f>
        <v/>
      </c>
      <c r="K26" s="27" t="str">
        <f>IFERROR((PA[[#This Row],[Sunset Time (POA&lt;20 W/m2)]]-PA[[#This Row],[Sunrise Time (POA&gt;20 W/m2)]])*24,"")</f>
        <v/>
      </c>
      <c r="M26" s="46" t="str">
        <f>IFERROR(VLOOKUP(PA[[#This Row],[Affceted Equipment]],'Basic Data'!$A$2:$B$114,2,0),"")</f>
        <v/>
      </c>
      <c r="N26" s="48" t="str">
        <f>IFERROR(VLOOKUP(PA[[#This Row],[Affceted Equipment]],'Basic Data'!$A$1:$C$118,3,0),"")</f>
        <v/>
      </c>
      <c r="W26" s="33">
        <f>IF(PA[[#This Row],[Acknowledgemnet Time ]]="NA","",(PA[[#This Row],[Acknowledgemnet Time ]]-PA[[#This Row],[Fault Time]])*24)</f>
        <v>0</v>
      </c>
      <c r="X26" s="33">
        <f>IF(PA[[#This Row],[Work Start time on Fault]]="NA","",(PA[[#This Row],[Work Start time on Fault]]-PA[[#This Row],[Fault Time]])*24)</f>
        <v>0</v>
      </c>
      <c r="Y26" s="35">
        <f>(PA[[#This Row],[Work Completiuon time on fualt]]-PA[[#This Row],[Fault Time]])*24</f>
        <v>0</v>
      </c>
      <c r="Z26" s="35">
        <f>IFERROR((PA[[#This Row],[Work Completiuon time on fualt]]-PA[[#This Row],[Fault Time]])*24,"")</f>
        <v>0</v>
      </c>
      <c r="AC26" s="47" t="str">
        <f>IFERROR(PA[[#This Row],[Breakdown Time]]*PA[[#This Row],[Plant Equivalent Weightage]],"")</f>
        <v/>
      </c>
      <c r="AE26" s="33" t="str">
        <f>IFERROR((_xlfn.XLOOKUP(PA[[#This Row],[Month Year]],'Modelling New'!D:D,'Modelling New'!$O:$O)*PA[[#This Row],[Lost PoA(Wh/m2)]]*PA[[#This Row],[DC Capacity Affceted (kW)]])/1000,"")</f>
        <v/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P26:P557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AB26:AB557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O4:O25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498"/>
  <sheetViews>
    <sheetView workbookViewId="0">
      <pane xSplit="8" ySplit="3" topLeftCell="T1484" activePane="bottomRight" state="frozen"/>
      <selection pane="topRight" activeCell="I1" sqref="I1"/>
      <selection pane="bottomLeft" activeCell="A4" sqref="A4"/>
      <selection pane="bottomRight" activeCell="Y1490" sqref="Y1490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45809</v>
      </c>
      <c r="G932" s="2">
        <f>DAY(EOMONTH(TA[[#This Row],[Month Year]],0))</f>
        <v>30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45809</v>
      </c>
      <c r="G933" s="2">
        <f>DAY(EOMONTH(TA[[#This Row],[Month Year]],0))</f>
        <v>30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45809</v>
      </c>
      <c r="G934" s="2">
        <f>DAY(EOMONTH(TA[[#This Row],[Month Year]],0))</f>
        <v>30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45809</v>
      </c>
      <c r="G935" s="2">
        <f>DAY(EOMONTH(TA[[#This Row],[Month Year]],0))</f>
        <v>30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45809</v>
      </c>
      <c r="G936" s="2">
        <f>DAY(EOMONTH(TA[[#This Row],[Month Year]],0))</f>
        <v>30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45809</v>
      </c>
      <c r="G937" s="2">
        <f>DAY(EOMONTH(TA[[#This Row],[Month Year]],0))</f>
        <v>30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45809</v>
      </c>
      <c r="G938" s="2">
        <f>DAY(EOMONTH(TA[[#This Row],[Month Year]],0))</f>
        <v>30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45809</v>
      </c>
      <c r="G939" s="2">
        <f>DAY(EOMONTH(TA[[#This Row],[Month Year]],0))</f>
        <v>30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45809</v>
      </c>
      <c r="G940" s="2">
        <f>DAY(EOMONTH(TA[[#This Row],[Month Year]],0))</f>
        <v>30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45809</v>
      </c>
      <c r="G941" s="2">
        <f>DAY(EOMONTH(TA[[#This Row],[Month Year]],0))</f>
        <v>30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45809</v>
      </c>
      <c r="G942" s="2">
        <f>DAY(EOMONTH(TA[[#This Row],[Month Year]],0))</f>
        <v>30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45809</v>
      </c>
      <c r="G943" s="2">
        <f>DAY(EOMONTH(TA[[#This Row],[Month Year]],0))</f>
        <v>30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45809</v>
      </c>
      <c r="G944" s="2">
        <f>DAY(EOMONTH(TA[[#This Row],[Month Year]],0))</f>
        <v>30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45809</v>
      </c>
      <c r="G945" s="2">
        <f>DAY(EOMONTH(TA[[#This Row],[Month Year]],0))</f>
        <v>30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45809</v>
      </c>
      <c r="G946" s="2">
        <f>DAY(EOMONTH(TA[[#This Row],[Month Year]],0))</f>
        <v>30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45809</v>
      </c>
      <c r="G947" s="2">
        <f>DAY(EOMONTH(TA[[#This Row],[Month Year]],0))</f>
        <v>30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45809</v>
      </c>
      <c r="G948" s="2">
        <f>DAY(EOMONTH(TA[[#This Row],[Month Year]],0))</f>
        <v>30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45809</v>
      </c>
      <c r="G949" s="2">
        <f>DAY(EOMONTH(TA[[#This Row],[Month Year]],0))</f>
        <v>30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45809</v>
      </c>
      <c r="G950" s="2">
        <f>DAY(EOMONTH(TA[[#This Row],[Month Year]],0))</f>
        <v>30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45809</v>
      </c>
      <c r="G951" s="2">
        <f>DAY(EOMONTH(TA[[#This Row],[Month Year]],0))</f>
        <v>30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45809</v>
      </c>
      <c r="G952" s="2">
        <f>DAY(EOMONTH(TA[[#This Row],[Month Year]],0))</f>
        <v>30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45809</v>
      </c>
      <c r="G953" s="2">
        <f>DAY(EOMONTH(TA[[#This Row],[Month Year]],0))</f>
        <v>30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45809</v>
      </c>
      <c r="G954" s="2">
        <f>DAY(EOMONTH(TA[[#This Row],[Month Year]],0))</f>
        <v>30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45809</v>
      </c>
      <c r="G955" s="2">
        <f>DAY(EOMONTH(TA[[#This Row],[Month Year]],0))</f>
        <v>30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45809</v>
      </c>
      <c r="G956" s="2">
        <f>DAY(EOMONTH(TA[[#This Row],[Month Year]],0))</f>
        <v>30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45809</v>
      </c>
      <c r="G957" s="2">
        <f>DAY(EOMONTH(TA[[#This Row],[Month Year]],0))</f>
        <v>30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45809</v>
      </c>
      <c r="G958" s="2">
        <f>DAY(EOMONTH(TA[[#This Row],[Month Year]],0))</f>
        <v>30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45809</v>
      </c>
      <c r="G959" s="2">
        <f>DAY(EOMONTH(TA[[#This Row],[Month Year]],0))</f>
        <v>30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45809</v>
      </c>
      <c r="G960" s="2">
        <f>DAY(EOMONTH(TA[[#This Row],[Month Year]],0))</f>
        <v>30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45809</v>
      </c>
      <c r="G961" s="2">
        <f>DAY(EOMONTH(TA[[#This Row],[Month Year]],0))</f>
        <v>30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45809</v>
      </c>
      <c r="G962" s="2">
        <f>DAY(EOMONTH(TA[[#This Row],[Month Year]],0))</f>
        <v>30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45809</v>
      </c>
      <c r="G963" s="2">
        <f>DAY(EOMONTH(TA[[#This Row],[Month Year]],0))</f>
        <v>30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45809</v>
      </c>
      <c r="G964" s="2">
        <f>DAY(EOMONTH(TA[[#This Row],[Month Year]],0))</f>
        <v>30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45809</v>
      </c>
      <c r="G965" s="2">
        <f>DAY(EOMONTH(TA[[#This Row],[Month Year]],0))</f>
        <v>30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45809</v>
      </c>
      <c r="G966" s="2">
        <f>DAY(EOMONTH(TA[[#This Row],[Month Year]],0))</f>
        <v>30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45809</v>
      </c>
      <c r="G967" s="2">
        <f>DAY(EOMONTH(TA[[#This Row],[Month Year]],0))</f>
        <v>30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45809</v>
      </c>
      <c r="G968" s="2">
        <f>DAY(EOMONTH(TA[[#This Row],[Month Year]],0))</f>
        <v>30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45809</v>
      </c>
      <c r="G969" s="2">
        <f>DAY(EOMONTH(TA[[#This Row],[Month Year]],0))</f>
        <v>30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45809</v>
      </c>
      <c r="G970" s="2">
        <f>DAY(EOMONTH(TA[[#This Row],[Month Year]],0))</f>
        <v>30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45809</v>
      </c>
      <c r="G971" s="2">
        <f>DAY(EOMONTH(TA[[#This Row],[Month Year]],0))</f>
        <v>30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45809</v>
      </c>
      <c r="G972" s="2">
        <f>DAY(EOMONTH(TA[[#This Row],[Month Year]],0))</f>
        <v>30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45809</v>
      </c>
      <c r="G973" s="2">
        <f>DAY(EOMONTH(TA[[#This Row],[Month Year]],0))</f>
        <v>30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45809</v>
      </c>
      <c r="G974" s="2">
        <f>DAY(EOMONTH(TA[[#This Row],[Month Year]],0))</f>
        <v>30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45809</v>
      </c>
      <c r="G975" s="2">
        <f>DAY(EOMONTH(TA[[#This Row],[Month Year]],0))</f>
        <v>30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45809</v>
      </c>
      <c r="G976" s="2">
        <f>DAY(EOMONTH(TA[[#This Row],[Month Year]],0))</f>
        <v>30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45809</v>
      </c>
      <c r="G977" s="2">
        <f>DAY(EOMONTH(TA[[#This Row],[Month Year]],0))</f>
        <v>30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45809</v>
      </c>
      <c r="G978" s="2">
        <f>DAY(EOMONTH(TA[[#This Row],[Month Year]],0))</f>
        <v>30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45809</v>
      </c>
      <c r="G979" s="2">
        <f>DAY(EOMONTH(TA[[#This Row],[Month Year]],0))</f>
        <v>30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45809</v>
      </c>
      <c r="G980" s="2">
        <f>DAY(EOMONTH(TA[[#This Row],[Month Year]],0))</f>
        <v>30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45809</v>
      </c>
      <c r="G981" s="2">
        <f>DAY(EOMONTH(TA[[#This Row],[Month Year]],0))</f>
        <v>30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45809</v>
      </c>
      <c r="G982" s="2">
        <f>DAY(EOMONTH(TA[[#This Row],[Month Year]],0))</f>
        <v>30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45809</v>
      </c>
      <c r="G983" s="2">
        <f>DAY(EOMONTH(TA[[#This Row],[Month Year]],0))</f>
        <v>30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45809</v>
      </c>
      <c r="G984" s="2">
        <f>DAY(EOMONTH(TA[[#This Row],[Month Year]],0))</f>
        <v>30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45809</v>
      </c>
      <c r="G985" s="2">
        <f>DAY(EOMONTH(TA[[#This Row],[Month Year]],0))</f>
        <v>30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45809</v>
      </c>
      <c r="G986" s="2">
        <f>DAY(EOMONTH(TA[[#This Row],[Month Year]],0))</f>
        <v>30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45809</v>
      </c>
      <c r="G987" s="2">
        <f>DAY(EOMONTH(TA[[#This Row],[Month Year]],0))</f>
        <v>30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45809</v>
      </c>
      <c r="G988" s="2">
        <f>DAY(EOMONTH(TA[[#This Row],[Month Year]],0))</f>
        <v>30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45809</v>
      </c>
      <c r="G989" s="2">
        <f>DAY(EOMONTH(TA[[#This Row],[Month Year]],0))</f>
        <v>30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45809</v>
      </c>
      <c r="G990" s="2">
        <f>DAY(EOMONTH(TA[[#This Row],[Month Year]],0))</f>
        <v>30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45809</v>
      </c>
      <c r="G991" s="2">
        <f>DAY(EOMONTH(TA[[#This Row],[Month Year]],0))</f>
        <v>30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45809</v>
      </c>
      <c r="G992" s="2">
        <f>DAY(EOMONTH(TA[[#This Row],[Month Year]],0))</f>
        <v>30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45809</v>
      </c>
      <c r="G993" s="2">
        <f>DAY(EOMONTH(TA[[#This Row],[Month Year]],0))</f>
        <v>30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45809</v>
      </c>
      <c r="G994" s="2">
        <f>DAY(EOMONTH(TA[[#This Row],[Month Year]],0))</f>
        <v>30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45809</v>
      </c>
      <c r="G995" s="2">
        <f>DAY(EOMONTH(TA[[#This Row],[Month Year]],0))</f>
        <v>30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45809</v>
      </c>
      <c r="G996" s="2">
        <f>DAY(EOMONTH(TA[[#This Row],[Month Year]],0))</f>
        <v>30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45809</v>
      </c>
      <c r="G997" s="2">
        <f>DAY(EOMONTH(TA[[#This Row],[Month Year]],0))</f>
        <v>30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45809</v>
      </c>
      <c r="G998" s="2">
        <f>DAY(EOMONTH(TA[[#This Row],[Month Year]],0))</f>
        <v>30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45809</v>
      </c>
      <c r="G999" s="2">
        <f>DAY(EOMONTH(TA[[#This Row],[Month Year]],0))</f>
        <v>30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45809</v>
      </c>
      <c r="G1000" s="2">
        <f>DAY(EOMONTH(TA[[#This Row],[Month Year]],0))</f>
        <v>30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45809</v>
      </c>
      <c r="G1001" s="2">
        <f>DAY(EOMONTH(TA[[#This Row],[Month Year]],0))</f>
        <v>30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45809</v>
      </c>
      <c r="G1002" s="2">
        <f>DAY(EOMONTH(TA[[#This Row],[Month Year]],0))</f>
        <v>30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45809</v>
      </c>
      <c r="G1003" s="2">
        <f>DAY(EOMONTH(TA[[#This Row],[Month Year]],0))</f>
        <v>30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45809</v>
      </c>
      <c r="G1004" s="2">
        <f>DAY(EOMONTH(TA[[#This Row],[Month Year]],0))</f>
        <v>30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45809</v>
      </c>
      <c r="G1005" s="2">
        <f>DAY(EOMONTH(TA[[#This Row],[Month Year]],0))</f>
        <v>30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45809</v>
      </c>
      <c r="G1006" s="2">
        <f>DAY(EOMONTH(TA[[#This Row],[Month Year]],0))</f>
        <v>30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45809</v>
      </c>
      <c r="G1007" s="2">
        <f>DAY(EOMONTH(TA[[#This Row],[Month Year]],0))</f>
        <v>30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45809</v>
      </c>
      <c r="G1008" s="2">
        <f>DAY(EOMONTH(TA[[#This Row],[Month Year]],0))</f>
        <v>30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45809</v>
      </c>
      <c r="G1009" s="2">
        <f>DAY(EOMONTH(TA[[#This Row],[Month Year]],0))</f>
        <v>30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45809</v>
      </c>
      <c r="G1010" s="2">
        <f>DAY(EOMONTH(TA[[#This Row],[Month Year]],0))</f>
        <v>30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45809</v>
      </c>
      <c r="G1011" s="2">
        <f>DAY(EOMONTH(TA[[#This Row],[Month Year]],0))</f>
        <v>30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45809</v>
      </c>
      <c r="G1012" s="2">
        <f>DAY(EOMONTH(TA[[#This Row],[Month Year]],0))</f>
        <v>30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45809</v>
      </c>
      <c r="G1013" s="2">
        <f>DAY(EOMONTH(TA[[#This Row],[Month Year]],0))</f>
        <v>30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45809</v>
      </c>
      <c r="G1014" s="2">
        <f>DAY(EOMONTH(TA[[#This Row],[Month Year]],0))</f>
        <v>30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45809</v>
      </c>
      <c r="G1015" s="2">
        <f>DAY(EOMONTH(TA[[#This Row],[Month Year]],0))</f>
        <v>30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45809</v>
      </c>
      <c r="G1016" s="2">
        <f>DAY(EOMONTH(TA[[#This Row],[Month Year]],0))</f>
        <v>30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45809</v>
      </c>
      <c r="G1017" s="2">
        <f>DAY(EOMONTH(TA[[#This Row],[Month Year]],0))</f>
        <v>30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45809</v>
      </c>
      <c r="G1018" s="2">
        <f>DAY(EOMONTH(TA[[#This Row],[Month Year]],0))</f>
        <v>30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45809</v>
      </c>
      <c r="G1019" s="2">
        <f>DAY(EOMONTH(TA[[#This Row],[Month Year]],0))</f>
        <v>30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45809</v>
      </c>
      <c r="G1020" s="2">
        <f>DAY(EOMONTH(TA[[#This Row],[Month Year]],0))</f>
        <v>30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45809</v>
      </c>
      <c r="G1021" s="2">
        <f>DAY(EOMONTH(TA[[#This Row],[Month Year]],0))</f>
        <v>30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45809</v>
      </c>
      <c r="G1022" s="2">
        <f>DAY(EOMONTH(TA[[#This Row],[Month Year]],0))</f>
        <v>30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45809</v>
      </c>
      <c r="G1023" s="2">
        <f>DAY(EOMONTH(TA[[#This Row],[Month Year]],0))</f>
        <v>30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45809</v>
      </c>
      <c r="G1024" s="2">
        <f>DAY(EOMONTH(TA[[#This Row],[Month Year]],0))</f>
        <v>30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45809</v>
      </c>
      <c r="G1025" s="2">
        <f>DAY(EOMONTH(TA[[#This Row],[Month Year]],0))</f>
        <v>30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45809</v>
      </c>
      <c r="G1026" s="2">
        <f>DAY(EOMONTH(TA[[#This Row],[Month Year]],0))</f>
        <v>30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45809</v>
      </c>
      <c r="G1027" s="2">
        <f>DAY(EOMONTH(TA[[#This Row],[Month Year]],0))</f>
        <v>30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45809</v>
      </c>
      <c r="G1028" s="2">
        <f>DAY(EOMONTH(TA[[#This Row],[Month Year]],0))</f>
        <v>30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45809</v>
      </c>
      <c r="G1029" s="2">
        <f>DAY(EOMONTH(TA[[#This Row],[Month Year]],0))</f>
        <v>30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45809</v>
      </c>
      <c r="G1030" s="2">
        <f>DAY(EOMONTH(TA[[#This Row],[Month Year]],0))</f>
        <v>30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45809</v>
      </c>
      <c r="G1031" s="2">
        <f>DAY(EOMONTH(TA[[#This Row],[Month Year]],0))</f>
        <v>30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45809</v>
      </c>
      <c r="G1032" s="2">
        <f>DAY(EOMONTH(TA[[#This Row],[Month Year]],0))</f>
        <v>30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45809</v>
      </c>
      <c r="G1033" s="2">
        <f>DAY(EOMONTH(TA[[#This Row],[Month Year]],0))</f>
        <v>30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45809</v>
      </c>
      <c r="G1034" s="2">
        <f>DAY(EOMONTH(TA[[#This Row],[Month Year]],0))</f>
        <v>30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45809</v>
      </c>
      <c r="G1035" s="2">
        <f>DAY(EOMONTH(TA[[#This Row],[Month Year]],0))</f>
        <v>30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45809</v>
      </c>
      <c r="G1036" s="2">
        <f>DAY(EOMONTH(TA[[#This Row],[Month Year]],0))</f>
        <v>30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45809</v>
      </c>
      <c r="G1037" s="2">
        <f>DAY(EOMONTH(TA[[#This Row],[Month Year]],0))</f>
        <v>30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45809</v>
      </c>
      <c r="G1038" s="2">
        <f>DAY(EOMONTH(TA[[#This Row],[Month Year]],0))</f>
        <v>30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45809</v>
      </c>
      <c r="G1039" s="2">
        <f>DAY(EOMONTH(TA[[#This Row],[Month Year]],0))</f>
        <v>30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45809</v>
      </c>
      <c r="G1040" s="2">
        <f>DAY(EOMONTH(TA[[#This Row],[Month Year]],0))</f>
        <v>30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45809</v>
      </c>
      <c r="G1041" s="2">
        <f>DAY(EOMONTH(TA[[#This Row],[Month Year]],0))</f>
        <v>30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45809</v>
      </c>
      <c r="G1042" s="2">
        <f>DAY(EOMONTH(TA[[#This Row],[Month Year]],0))</f>
        <v>30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45809</v>
      </c>
      <c r="G1043" s="2">
        <f>DAY(EOMONTH(TA[[#This Row],[Month Year]],0))</f>
        <v>30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45809</v>
      </c>
      <c r="G1044" s="2">
        <f>DAY(EOMONTH(TA[[#This Row],[Month Year]],0))</f>
        <v>30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45809</v>
      </c>
      <c r="G1045" s="2">
        <f>DAY(EOMONTH(TA[[#This Row],[Month Year]],0))</f>
        <v>30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45809</v>
      </c>
      <c r="G1046" s="2">
        <f>DAY(EOMONTH(TA[[#This Row],[Month Year]],0))</f>
        <v>30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45809</v>
      </c>
      <c r="G1047" s="2">
        <f>DAY(EOMONTH(TA[[#This Row],[Month Year]],0))</f>
        <v>30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45809</v>
      </c>
      <c r="G1048" s="2">
        <f>DAY(EOMONTH(TA[[#This Row],[Month Year]],0))</f>
        <v>30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45809</v>
      </c>
      <c r="G1049" s="2">
        <f>DAY(EOMONTH(TA[[#This Row],[Month Year]],0))</f>
        <v>30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45809</v>
      </c>
      <c r="G1050" s="2">
        <f>DAY(EOMONTH(TA[[#This Row],[Month Year]],0))</f>
        <v>30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45809</v>
      </c>
      <c r="G1051" s="2">
        <f>DAY(EOMONTH(TA[[#This Row],[Month Year]],0))</f>
        <v>30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45809</v>
      </c>
      <c r="G1052" s="2">
        <f>DAY(EOMONTH(TA[[#This Row],[Month Year]],0))</f>
        <v>30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45809</v>
      </c>
      <c r="G1053" s="2">
        <f>DAY(EOMONTH(TA[[#This Row],[Month Year]],0))</f>
        <v>30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45809</v>
      </c>
      <c r="G1054" s="2">
        <f>DAY(EOMONTH(TA[[#This Row],[Month Year]],0))</f>
        <v>30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45809</v>
      </c>
      <c r="G1055" s="2">
        <f>DAY(EOMONTH(TA[[#This Row],[Month Year]],0))</f>
        <v>30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45809</v>
      </c>
      <c r="G1056" s="2">
        <f>DAY(EOMONTH(TA[[#This Row],[Month Year]],0))</f>
        <v>30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45809</v>
      </c>
      <c r="G1057" s="2">
        <f>DAY(EOMONTH(TA[[#This Row],[Month Year]],0))</f>
        <v>30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45809</v>
      </c>
      <c r="G1058" s="2">
        <f>DAY(EOMONTH(TA[[#This Row],[Month Year]],0))</f>
        <v>30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45809</v>
      </c>
      <c r="G1059" s="2">
        <f>DAY(EOMONTH(TA[[#This Row],[Month Year]],0))</f>
        <v>30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45809</v>
      </c>
      <c r="G1060" s="2">
        <f>DAY(EOMONTH(TA[[#This Row],[Month Year]],0))</f>
        <v>30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45809</v>
      </c>
      <c r="G1061" s="2">
        <f>DAY(EOMONTH(TA[[#This Row],[Month Year]],0))</f>
        <v>30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45809</v>
      </c>
      <c r="G1062" s="2">
        <f>DAY(EOMONTH(TA[[#This Row],[Month Year]],0))</f>
        <v>30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45809</v>
      </c>
      <c r="G1063" s="2">
        <f>DAY(EOMONTH(TA[[#This Row],[Month Year]],0))</f>
        <v>30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45809</v>
      </c>
      <c r="G1064" s="2">
        <f>DAY(EOMONTH(TA[[#This Row],[Month Year]],0))</f>
        <v>30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45809</v>
      </c>
      <c r="G1065" s="2">
        <f>DAY(EOMONTH(TA[[#This Row],[Month Year]],0))</f>
        <v>30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45809</v>
      </c>
      <c r="G1066" s="2">
        <f>DAY(EOMONTH(TA[[#This Row],[Month Year]],0))</f>
        <v>30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45809</v>
      </c>
      <c r="G1067" s="2">
        <f>DAY(EOMONTH(TA[[#This Row],[Month Year]],0))</f>
        <v>30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45809</v>
      </c>
      <c r="G1068" s="2">
        <f>DAY(EOMONTH(TA[[#This Row],[Month Year]],0))</f>
        <v>30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45809</v>
      </c>
      <c r="G1069" s="2">
        <f>DAY(EOMONTH(TA[[#This Row],[Month Year]],0))</f>
        <v>30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45809</v>
      </c>
      <c r="G1070" s="2">
        <f>DAY(EOMONTH(TA[[#This Row],[Month Year]],0))</f>
        <v>30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45809</v>
      </c>
      <c r="G1071" s="2">
        <f>DAY(EOMONTH(TA[[#This Row],[Month Year]],0))</f>
        <v>30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45809</v>
      </c>
      <c r="G1072" s="2">
        <f>DAY(EOMONTH(TA[[#This Row],[Month Year]],0))</f>
        <v>30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45809</v>
      </c>
      <c r="G1073" s="2">
        <f>DAY(EOMONTH(TA[[#This Row],[Month Year]],0))</f>
        <v>30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45809</v>
      </c>
      <c r="G1074" s="2">
        <f>DAY(EOMONTH(TA[[#This Row],[Month Year]],0))</f>
        <v>30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45809</v>
      </c>
      <c r="G1075" s="2">
        <f>DAY(EOMONTH(TA[[#This Row],[Month Year]],0))</f>
        <v>30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45809</v>
      </c>
      <c r="G1076" s="2">
        <f>DAY(EOMONTH(TA[[#This Row],[Month Year]],0))</f>
        <v>30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45809</v>
      </c>
      <c r="G1077" s="2">
        <f>DAY(EOMONTH(TA[[#This Row],[Month Year]],0))</f>
        <v>30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45809</v>
      </c>
      <c r="G1078" s="2">
        <f>DAY(EOMONTH(TA[[#This Row],[Month Year]],0))</f>
        <v>30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45809</v>
      </c>
      <c r="G1079" s="2">
        <f>DAY(EOMONTH(TA[[#This Row],[Month Year]],0))</f>
        <v>30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45809</v>
      </c>
      <c r="G1080" s="2">
        <f>DAY(EOMONTH(TA[[#This Row],[Month Year]],0))</f>
        <v>30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45809</v>
      </c>
      <c r="G1081" s="2">
        <f>DAY(EOMONTH(TA[[#This Row],[Month Year]],0))</f>
        <v>30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45809</v>
      </c>
      <c r="G1082" s="2">
        <f>DAY(EOMONTH(TA[[#This Row],[Month Year]],0))</f>
        <v>30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45809</v>
      </c>
      <c r="G1083" s="2">
        <f>DAY(EOMONTH(TA[[#This Row],[Month Year]],0))</f>
        <v>30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45809</v>
      </c>
      <c r="G1084" s="2">
        <f>DAY(EOMONTH(TA[[#This Row],[Month Year]],0))</f>
        <v>30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45809</v>
      </c>
      <c r="G1085" s="2">
        <f>DAY(EOMONTH(TA[[#This Row],[Month Year]],0))</f>
        <v>30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45809</v>
      </c>
      <c r="G1086" s="2">
        <f>DAY(EOMONTH(TA[[#This Row],[Month Year]],0))</f>
        <v>30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45809</v>
      </c>
      <c r="G1087" s="2">
        <f>DAY(EOMONTH(TA[[#This Row],[Month Year]],0))</f>
        <v>30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45809</v>
      </c>
      <c r="G1088" s="2">
        <f>DAY(EOMONTH(TA[[#This Row],[Month Year]],0))</f>
        <v>30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45809</v>
      </c>
      <c r="G1089" s="2">
        <f>DAY(EOMONTH(TA[[#This Row],[Month Year]],0))</f>
        <v>30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45809</v>
      </c>
      <c r="G1090" s="2">
        <f>DAY(EOMONTH(TA[[#This Row],[Month Year]],0))</f>
        <v>30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45809</v>
      </c>
      <c r="G1091" s="2">
        <f>DAY(EOMONTH(TA[[#This Row],[Month Year]],0))</f>
        <v>30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45809</v>
      </c>
      <c r="G1092" s="2">
        <f>DAY(EOMONTH(TA[[#This Row],[Month Year]],0))</f>
        <v>30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45809</v>
      </c>
      <c r="G1093" s="2">
        <f>DAY(EOMONTH(TA[[#This Row],[Month Year]],0))</f>
        <v>30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45809</v>
      </c>
      <c r="G1094" s="2">
        <f>DAY(EOMONTH(TA[[#This Row],[Month Year]],0))</f>
        <v>30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45809</v>
      </c>
      <c r="G1095" s="2">
        <f>DAY(EOMONTH(TA[[#This Row],[Month Year]],0))</f>
        <v>30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45809</v>
      </c>
      <c r="G1096" s="2">
        <f>DAY(EOMONTH(TA[[#This Row],[Month Year]],0))</f>
        <v>30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45809</v>
      </c>
      <c r="G1097" s="2">
        <f>DAY(EOMONTH(TA[[#This Row],[Month Year]],0))</f>
        <v>30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45809</v>
      </c>
      <c r="G1098" s="2">
        <f>DAY(EOMONTH(TA[[#This Row],[Month Year]],0))</f>
        <v>30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45809</v>
      </c>
      <c r="G1099" s="2">
        <f>DAY(EOMONTH(TA[[#This Row],[Month Year]],0))</f>
        <v>30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45809</v>
      </c>
      <c r="G1100" s="2">
        <f>DAY(EOMONTH(TA[[#This Row],[Month Year]],0))</f>
        <v>30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45809</v>
      </c>
      <c r="G1101" s="2">
        <f>DAY(EOMONTH(TA[[#This Row],[Month Year]],0))</f>
        <v>30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45809</v>
      </c>
      <c r="G1102" s="2">
        <f>DAY(EOMONTH(TA[[#This Row],[Month Year]],0))</f>
        <v>30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45809</v>
      </c>
      <c r="G1103" s="2">
        <f>DAY(EOMONTH(TA[[#This Row],[Month Year]],0))</f>
        <v>30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45809</v>
      </c>
      <c r="G1104" s="2">
        <f>DAY(EOMONTH(TA[[#This Row],[Month Year]],0))</f>
        <v>30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45809</v>
      </c>
      <c r="G1105" s="2">
        <f>DAY(EOMONTH(TA[[#This Row],[Month Year]],0))</f>
        <v>30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45809</v>
      </c>
      <c r="G1106" s="2">
        <f>DAY(EOMONTH(TA[[#This Row],[Month Year]],0))</f>
        <v>30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45809</v>
      </c>
      <c r="G1107" s="2">
        <f>DAY(EOMONTH(TA[[#This Row],[Month Year]],0))</f>
        <v>30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45809</v>
      </c>
      <c r="G1108" s="2">
        <f>DAY(EOMONTH(TA[[#This Row],[Month Year]],0))</f>
        <v>30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45809</v>
      </c>
      <c r="G1109" s="2">
        <f>DAY(EOMONTH(TA[[#This Row],[Month Year]],0))</f>
        <v>30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45809</v>
      </c>
      <c r="G1110" s="2">
        <f>DAY(EOMONTH(TA[[#This Row],[Month Year]],0))</f>
        <v>30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45809</v>
      </c>
      <c r="G1111" s="2">
        <f>DAY(EOMONTH(TA[[#This Row],[Month Year]],0))</f>
        <v>30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45809</v>
      </c>
      <c r="G1112" s="2">
        <f>DAY(EOMONTH(TA[[#This Row],[Month Year]],0))</f>
        <v>30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45809</v>
      </c>
      <c r="G1113" s="2">
        <f>DAY(EOMONTH(TA[[#This Row],[Month Year]],0))</f>
        <v>30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45809</v>
      </c>
      <c r="G1114" s="2">
        <f>DAY(EOMONTH(TA[[#This Row],[Month Year]],0))</f>
        <v>30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509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45809</v>
      </c>
      <c r="G1115" s="2">
        <f>DAY(EOMONTH(TA[[#This Row],[Month Year]],0))</f>
        <v>30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507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509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45809</v>
      </c>
      <c r="G1116" s="2">
        <f>DAY(EOMONTH(TA[[#This Row],[Month Year]],0))</f>
        <v>30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508</v>
      </c>
      <c r="Q1116" s="126" t="s">
        <v>508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509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45809</v>
      </c>
      <c r="G1117" s="2">
        <f>DAY(EOMONTH(TA[[#This Row],[Month Year]],0))</f>
        <v>30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509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45809</v>
      </c>
      <c r="G1118" s="2">
        <f>DAY(EOMONTH(TA[[#This Row],[Month Year]],0))</f>
        <v>30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507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509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45809</v>
      </c>
      <c r="G1119" s="2">
        <f>DAY(EOMONTH(TA[[#This Row],[Month Year]],0))</f>
        <v>30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509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45809</v>
      </c>
      <c r="G1120" s="2">
        <f>DAY(EOMONTH(TA[[#This Row],[Month Year]],0))</f>
        <v>30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510</v>
      </c>
      <c r="Q1120" s="126" t="s">
        <v>510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509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45809</v>
      </c>
      <c r="G1121" s="2">
        <f>DAY(EOMONTH(TA[[#This Row],[Month Year]],0))</f>
        <v>30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510</v>
      </c>
      <c r="Q1121" s="126" t="s">
        <v>510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509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45809</v>
      </c>
      <c r="G1122" s="2">
        <f>DAY(EOMONTH(TA[[#This Row],[Month Year]],0))</f>
        <v>30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45809</v>
      </c>
      <c r="G1123" s="2">
        <f>DAY(EOMONTH(TA[[#This Row],[Month Year]],0))</f>
        <v>30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45809</v>
      </c>
      <c r="G1124" s="2">
        <f>DAY(EOMONTH(TA[[#This Row],[Month Year]],0))</f>
        <v>30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45809</v>
      </c>
      <c r="G1125" s="2">
        <f>DAY(EOMONTH(TA[[#This Row],[Month Year]],0))</f>
        <v>30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45809</v>
      </c>
      <c r="G1126" s="2">
        <f>DAY(EOMONTH(TA[[#This Row],[Month Year]],0))</f>
        <v>30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45809</v>
      </c>
      <c r="G1127" s="2">
        <f>DAY(EOMONTH(TA[[#This Row],[Month Year]],0))</f>
        <v>30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45809</v>
      </c>
      <c r="G1128" s="2">
        <f>DAY(EOMONTH(TA[[#This Row],[Month Year]],0))</f>
        <v>30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45809</v>
      </c>
      <c r="G1129" s="2">
        <f>DAY(EOMONTH(TA[[#This Row],[Month Year]],0))</f>
        <v>30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45809</v>
      </c>
      <c r="G1130" s="2">
        <f>DAY(EOMONTH(TA[[#This Row],[Month Year]],0))</f>
        <v>30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45809</v>
      </c>
      <c r="G1131" s="2">
        <f>DAY(EOMONTH(TA[[#This Row],[Month Year]],0))</f>
        <v>30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45809</v>
      </c>
      <c r="G1132" s="2">
        <f>DAY(EOMONTH(TA[[#This Row],[Month Year]],0))</f>
        <v>30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45809</v>
      </c>
      <c r="G1133" s="2">
        <f>DAY(EOMONTH(TA[[#This Row],[Month Year]],0))</f>
        <v>30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45809</v>
      </c>
      <c r="G1134" s="2">
        <f>DAY(EOMONTH(TA[[#This Row],[Month Year]],0))</f>
        <v>30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45809</v>
      </c>
      <c r="G1135" s="2">
        <f>DAY(EOMONTH(TA[[#This Row],[Month Year]],0))</f>
        <v>30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45809</v>
      </c>
      <c r="G1136" s="2">
        <f>DAY(EOMONTH(TA[[#This Row],[Month Year]],0))</f>
        <v>30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45809</v>
      </c>
      <c r="G1137" s="2">
        <f>DAY(EOMONTH(TA[[#This Row],[Month Year]],0))</f>
        <v>30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45809</v>
      </c>
      <c r="G1138" s="2">
        <f>DAY(EOMONTH(TA[[#This Row],[Month Year]],0))</f>
        <v>30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45809</v>
      </c>
      <c r="G1139" s="2">
        <f>DAY(EOMONTH(TA[[#This Row],[Month Year]],0))</f>
        <v>30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45809</v>
      </c>
      <c r="G1140" s="2">
        <f>DAY(EOMONTH(TA[[#This Row],[Month Year]],0))</f>
        <v>30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45809</v>
      </c>
      <c r="G1141" s="2">
        <f>DAY(EOMONTH(TA[[#This Row],[Month Year]],0))</f>
        <v>30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45809</v>
      </c>
      <c r="G1142" s="2">
        <f>DAY(EOMONTH(TA[[#This Row],[Month Year]],0))</f>
        <v>30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45809</v>
      </c>
      <c r="G1143" s="2">
        <f>DAY(EOMONTH(TA[[#This Row],[Month Year]],0))</f>
        <v>30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45809</v>
      </c>
      <c r="G1144" s="2">
        <f>DAY(EOMONTH(TA[[#This Row],[Month Year]],0))</f>
        <v>30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45809</v>
      </c>
      <c r="G1145" s="2">
        <f>DAY(EOMONTH(TA[[#This Row],[Month Year]],0))</f>
        <v>30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45809</v>
      </c>
      <c r="G1146" s="2">
        <f>DAY(EOMONTH(TA[[#This Row],[Month Year]],0))</f>
        <v>30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45809</v>
      </c>
      <c r="G1147" s="2">
        <f>DAY(EOMONTH(TA[[#This Row],[Month Year]],0))</f>
        <v>30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45809</v>
      </c>
      <c r="G1148" s="2">
        <f>DAY(EOMONTH(TA[[#This Row],[Month Year]],0))</f>
        <v>30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45809</v>
      </c>
      <c r="G1149" s="2">
        <f>DAY(EOMONTH(TA[[#This Row],[Month Year]],0))</f>
        <v>30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45809</v>
      </c>
      <c r="G1150" s="2">
        <f>DAY(EOMONTH(TA[[#This Row],[Month Year]],0))</f>
        <v>30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45809</v>
      </c>
      <c r="G1151" s="2">
        <f>DAY(EOMONTH(TA[[#This Row],[Month Year]],0))</f>
        <v>30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45809</v>
      </c>
      <c r="G1152" s="2">
        <f>DAY(EOMONTH(TA[[#This Row],[Month Year]],0))</f>
        <v>30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45809</v>
      </c>
      <c r="G1153" s="2">
        <f>DAY(EOMONTH(TA[[#This Row],[Month Year]],0))</f>
        <v>30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45809</v>
      </c>
      <c r="G1154" s="2">
        <f>DAY(EOMONTH(TA[[#This Row],[Month Year]],0))</f>
        <v>30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45809</v>
      </c>
      <c r="G1155" s="2">
        <f>DAY(EOMONTH(TA[[#This Row],[Month Year]],0))</f>
        <v>30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45809</v>
      </c>
      <c r="G1156" s="2">
        <f>DAY(EOMONTH(TA[[#This Row],[Month Year]],0))</f>
        <v>30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45809</v>
      </c>
      <c r="G1157" s="2">
        <f>DAY(EOMONTH(TA[[#This Row],[Month Year]],0))</f>
        <v>30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45809</v>
      </c>
      <c r="G1158" s="2">
        <f>DAY(EOMONTH(TA[[#This Row],[Month Year]],0))</f>
        <v>30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45809</v>
      </c>
      <c r="G1159" s="2">
        <f>DAY(EOMONTH(TA[[#This Row],[Month Year]],0))</f>
        <v>30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45809</v>
      </c>
      <c r="G1160" s="2">
        <f>DAY(EOMONTH(TA[[#This Row],[Month Year]],0))</f>
        <v>30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45809</v>
      </c>
      <c r="G1161" s="2">
        <f>DAY(EOMONTH(TA[[#This Row],[Month Year]],0))</f>
        <v>30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45809</v>
      </c>
      <c r="G1162" s="2">
        <f>DAY(EOMONTH(TA[[#This Row],[Month Year]],0))</f>
        <v>30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45809</v>
      </c>
      <c r="G1163" s="2">
        <f>DAY(EOMONTH(TA[[#This Row],[Month Year]],0))</f>
        <v>30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45809</v>
      </c>
      <c r="G1164" s="2">
        <f>DAY(EOMONTH(TA[[#This Row],[Month Year]],0))</f>
        <v>30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45809</v>
      </c>
      <c r="G1165" s="2">
        <f>DAY(EOMONTH(TA[[#This Row],[Month Year]],0))</f>
        <v>30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45809</v>
      </c>
      <c r="G1166" s="2">
        <f>DAY(EOMONTH(TA[[#This Row],[Month Year]],0))</f>
        <v>30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45809</v>
      </c>
      <c r="G1167" s="2">
        <f>DAY(EOMONTH(TA[[#This Row],[Month Year]],0))</f>
        <v>30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45809</v>
      </c>
      <c r="G1168" s="2">
        <f>DAY(EOMONTH(TA[[#This Row],[Month Year]],0))</f>
        <v>30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45809</v>
      </c>
      <c r="G1169" s="2">
        <f>DAY(EOMONTH(TA[[#This Row],[Month Year]],0))</f>
        <v>30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45809</v>
      </c>
      <c r="G1170" s="2">
        <f>DAY(EOMONTH(TA[[#This Row],[Month Year]],0))</f>
        <v>30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45809</v>
      </c>
      <c r="G1171" s="2">
        <f>DAY(EOMONTH(TA[[#This Row],[Month Year]],0))</f>
        <v>30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45809</v>
      </c>
      <c r="G1172" s="2">
        <f>DAY(EOMONTH(TA[[#This Row],[Month Year]],0))</f>
        <v>30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45809</v>
      </c>
      <c r="G1173" s="2">
        <f>DAY(EOMONTH(TA[[#This Row],[Month Year]],0))</f>
        <v>30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45809</v>
      </c>
      <c r="G1174" s="2">
        <f>DAY(EOMONTH(TA[[#This Row],[Month Year]],0))</f>
        <v>30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45809</v>
      </c>
      <c r="G1175" s="2">
        <f>DAY(EOMONTH(TA[[#This Row],[Month Year]],0))</f>
        <v>30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45809</v>
      </c>
      <c r="G1176" s="2">
        <f>DAY(EOMONTH(TA[[#This Row],[Month Year]],0))</f>
        <v>30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45809</v>
      </c>
      <c r="G1177" s="2">
        <f>DAY(EOMONTH(TA[[#This Row],[Month Year]],0))</f>
        <v>30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45809</v>
      </c>
      <c r="G1178" s="2">
        <f>DAY(EOMONTH(TA[[#This Row],[Month Year]],0))</f>
        <v>30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45809</v>
      </c>
      <c r="G1179" s="2">
        <f>DAY(EOMONTH(TA[[#This Row],[Month Year]],0))</f>
        <v>30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45809</v>
      </c>
      <c r="G1180" s="2">
        <f>DAY(EOMONTH(TA[[#This Row],[Month Year]],0))</f>
        <v>30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45809</v>
      </c>
      <c r="G1181" s="2">
        <f>DAY(EOMONTH(TA[[#This Row],[Month Year]],0))</f>
        <v>30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45809</v>
      </c>
      <c r="G1182" s="2">
        <f>DAY(EOMONTH(TA[[#This Row],[Month Year]],0))</f>
        <v>30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45809</v>
      </c>
      <c r="G1183" s="2">
        <f>DAY(EOMONTH(TA[[#This Row],[Month Year]],0))</f>
        <v>30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45809</v>
      </c>
      <c r="G1184" s="2">
        <f>DAY(EOMONTH(TA[[#This Row],[Month Year]],0))</f>
        <v>30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45809</v>
      </c>
      <c r="G1185" s="2">
        <f>DAY(EOMONTH(TA[[#This Row],[Month Year]],0))</f>
        <v>30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45809</v>
      </c>
      <c r="G1186" s="2">
        <f>DAY(EOMONTH(TA[[#This Row],[Month Year]],0))</f>
        <v>30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45809</v>
      </c>
      <c r="G1187" s="2">
        <f>DAY(EOMONTH(TA[[#This Row],[Month Year]],0))</f>
        <v>30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45809</v>
      </c>
      <c r="G1188" s="2">
        <f>DAY(EOMONTH(TA[[#This Row],[Month Year]],0))</f>
        <v>30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45809</v>
      </c>
      <c r="G1189" s="2">
        <f>DAY(EOMONTH(TA[[#This Row],[Month Year]],0))</f>
        <v>30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45809</v>
      </c>
      <c r="G1190" s="2">
        <f>DAY(EOMONTH(TA[[#This Row],[Month Year]],0))</f>
        <v>30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45809</v>
      </c>
      <c r="G1191" s="2">
        <f>DAY(EOMONTH(TA[[#This Row],[Month Year]],0))</f>
        <v>30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45809</v>
      </c>
      <c r="G1192" s="2">
        <f>DAY(EOMONTH(TA[[#This Row],[Month Year]],0))</f>
        <v>30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45809</v>
      </c>
      <c r="G1193" s="2">
        <f>DAY(EOMONTH(TA[[#This Row],[Month Year]],0))</f>
        <v>30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45809</v>
      </c>
      <c r="G1194" s="2">
        <f>DAY(EOMONTH(TA[[#This Row],[Month Year]],0))</f>
        <v>30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45809</v>
      </c>
      <c r="G1195" s="2">
        <f>DAY(EOMONTH(TA[[#This Row],[Month Year]],0))</f>
        <v>30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45809</v>
      </c>
      <c r="G1196" s="2">
        <f>DAY(EOMONTH(TA[[#This Row],[Month Year]],0))</f>
        <v>30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45809</v>
      </c>
      <c r="G1197" s="2">
        <f>DAY(EOMONTH(TA[[#This Row],[Month Year]],0))</f>
        <v>30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45809</v>
      </c>
      <c r="G1198" s="2">
        <f>DAY(EOMONTH(TA[[#This Row],[Month Year]],0))</f>
        <v>30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45809</v>
      </c>
      <c r="G1199" s="2">
        <f>DAY(EOMONTH(TA[[#This Row],[Month Year]],0))</f>
        <v>30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45809</v>
      </c>
      <c r="G1200" s="2">
        <f>DAY(EOMONTH(TA[[#This Row],[Month Year]],0))</f>
        <v>30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45809</v>
      </c>
      <c r="G1201" s="2">
        <f>DAY(EOMONTH(TA[[#This Row],[Month Year]],0))</f>
        <v>30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45809</v>
      </c>
      <c r="G1202" s="2">
        <f>DAY(EOMONTH(TA[[#This Row],[Month Year]],0))</f>
        <v>30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45809</v>
      </c>
      <c r="G1203" s="2">
        <f>DAY(EOMONTH(TA[[#This Row],[Month Year]],0))</f>
        <v>30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45809</v>
      </c>
      <c r="G1204" s="2">
        <f>DAY(EOMONTH(TA[[#This Row],[Month Year]],0))</f>
        <v>30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45809</v>
      </c>
      <c r="G1205" s="2">
        <f>DAY(EOMONTH(TA[[#This Row],[Month Year]],0))</f>
        <v>30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45809</v>
      </c>
      <c r="G1206" s="2">
        <f>DAY(EOMONTH(TA[[#This Row],[Month Year]],0))</f>
        <v>30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45809</v>
      </c>
      <c r="G1207" s="2">
        <f>DAY(EOMONTH(TA[[#This Row],[Month Year]],0))</f>
        <v>30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45809</v>
      </c>
      <c r="G1208" s="2">
        <f>DAY(EOMONTH(TA[[#This Row],[Month Year]],0))</f>
        <v>30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45809</v>
      </c>
      <c r="G1209" s="2">
        <f>DAY(EOMONTH(TA[[#This Row],[Month Year]],0))</f>
        <v>30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45809</v>
      </c>
      <c r="G1210" s="2">
        <f>DAY(EOMONTH(TA[[#This Row],[Month Year]],0))</f>
        <v>30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45809</v>
      </c>
      <c r="G1211" s="2">
        <f>DAY(EOMONTH(TA[[#This Row],[Month Year]],0))</f>
        <v>30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45809</v>
      </c>
      <c r="G1212" s="2">
        <f>DAY(EOMONTH(TA[[#This Row],[Month Year]],0))</f>
        <v>30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45809</v>
      </c>
      <c r="G1213" s="2">
        <f>DAY(EOMONTH(TA[[#This Row],[Month Year]],0))</f>
        <v>30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45809</v>
      </c>
      <c r="G1214" s="2">
        <f>DAY(EOMONTH(TA[[#This Row],[Month Year]],0))</f>
        <v>30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45809</v>
      </c>
      <c r="G1215" s="2">
        <f>DAY(EOMONTH(TA[[#This Row],[Month Year]],0))</f>
        <v>30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45809</v>
      </c>
      <c r="G1216" s="2">
        <f>DAY(EOMONTH(TA[[#This Row],[Month Year]],0))</f>
        <v>30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45809</v>
      </c>
      <c r="G1217" s="2">
        <f>DAY(EOMONTH(TA[[#This Row],[Month Year]],0))</f>
        <v>30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45809</v>
      </c>
      <c r="G1218" s="2">
        <f>DAY(EOMONTH(TA[[#This Row],[Month Year]],0))</f>
        <v>30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45809</v>
      </c>
      <c r="G1219" s="2">
        <f>DAY(EOMONTH(TA[[#This Row],[Month Year]],0))</f>
        <v>30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45809</v>
      </c>
      <c r="G1220" s="2">
        <f>DAY(EOMONTH(TA[[#This Row],[Month Year]],0))</f>
        <v>30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45809</v>
      </c>
      <c r="G1221" s="2">
        <f>DAY(EOMONTH(TA[[#This Row],[Month Year]],0))</f>
        <v>30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45809</v>
      </c>
      <c r="G1222" s="2">
        <f>DAY(EOMONTH(TA[[#This Row],[Month Year]],0))</f>
        <v>30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45809</v>
      </c>
      <c r="G1223" s="2">
        <f>DAY(EOMONTH(TA[[#This Row],[Month Year]],0))</f>
        <v>30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45809</v>
      </c>
      <c r="G1224" s="2">
        <f>DAY(EOMONTH(TA[[#This Row],[Month Year]],0))</f>
        <v>30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45809</v>
      </c>
      <c r="G1225" s="2">
        <f>DAY(EOMONTH(TA[[#This Row],[Month Year]],0))</f>
        <v>30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45809</v>
      </c>
      <c r="G1226" s="2">
        <f>DAY(EOMONTH(TA[[#This Row],[Month Year]],0))</f>
        <v>30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45809</v>
      </c>
      <c r="G1227" s="2">
        <f>DAY(EOMONTH(TA[[#This Row],[Month Year]],0))</f>
        <v>30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45809</v>
      </c>
      <c r="G1228" s="2">
        <f>DAY(EOMONTH(TA[[#This Row],[Month Year]],0))</f>
        <v>30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45809</v>
      </c>
      <c r="G1229" s="2">
        <f>DAY(EOMONTH(TA[[#This Row],[Month Year]],0))</f>
        <v>30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45809</v>
      </c>
      <c r="G1230" s="2">
        <f>DAY(EOMONTH(TA[[#This Row],[Month Year]],0))</f>
        <v>30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45809</v>
      </c>
      <c r="G1231" s="2">
        <f>DAY(EOMONTH(TA[[#This Row],[Month Year]],0))</f>
        <v>30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45809</v>
      </c>
      <c r="G1232" s="2">
        <f>DAY(EOMONTH(TA[[#This Row],[Month Year]],0))</f>
        <v>30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45809</v>
      </c>
      <c r="G1233" s="2">
        <f>DAY(EOMONTH(TA[[#This Row],[Month Year]],0))</f>
        <v>30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45809</v>
      </c>
      <c r="G1234" s="2">
        <f>DAY(EOMONTH(TA[[#This Row],[Month Year]],0))</f>
        <v>30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45809</v>
      </c>
      <c r="G1235" s="2">
        <f>DAY(EOMONTH(TA[[#This Row],[Month Year]],0))</f>
        <v>30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45809</v>
      </c>
      <c r="G1236" s="2">
        <f>DAY(EOMONTH(TA[[#This Row],[Month Year]],0))</f>
        <v>30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45809</v>
      </c>
      <c r="G1237" s="2">
        <f>DAY(EOMONTH(TA[[#This Row],[Month Year]],0))</f>
        <v>30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45809</v>
      </c>
      <c r="G1238" s="2">
        <f>DAY(EOMONTH(TA[[#This Row],[Month Year]],0))</f>
        <v>30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45809</v>
      </c>
      <c r="G1239" s="2">
        <f>DAY(EOMONTH(TA[[#This Row],[Month Year]],0))</f>
        <v>30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45809</v>
      </c>
      <c r="G1240" s="2">
        <f>DAY(EOMONTH(TA[[#This Row],[Month Year]],0))</f>
        <v>30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45809</v>
      </c>
      <c r="G1241" s="2">
        <f>DAY(EOMONTH(TA[[#This Row],[Month Year]],0))</f>
        <v>30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45809</v>
      </c>
      <c r="G1242" s="2">
        <f>DAY(EOMONTH(TA[[#This Row],[Month Year]],0))</f>
        <v>30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45809</v>
      </c>
      <c r="G1243" s="2">
        <f>DAY(EOMONTH(TA[[#This Row],[Month Year]],0))</f>
        <v>30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45809</v>
      </c>
      <c r="G1244" s="2">
        <f>DAY(EOMONTH(TA[[#This Row],[Month Year]],0))</f>
        <v>30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45809</v>
      </c>
      <c r="G1245" s="2">
        <f>DAY(EOMONTH(TA[[#This Row],[Month Year]],0))</f>
        <v>30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45809</v>
      </c>
      <c r="G1246" s="2">
        <f>DAY(EOMONTH(TA[[#This Row],[Month Year]],0))</f>
        <v>30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45809</v>
      </c>
      <c r="G1247" s="2">
        <f>DAY(EOMONTH(TA[[#This Row],[Month Year]],0))</f>
        <v>30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45809</v>
      </c>
      <c r="G1248" s="2">
        <f>DAY(EOMONTH(TA[[#This Row],[Month Year]],0))</f>
        <v>30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45809</v>
      </c>
      <c r="G1249" s="2">
        <f>DAY(EOMONTH(TA[[#This Row],[Month Year]],0))</f>
        <v>30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45809</v>
      </c>
      <c r="G1250" s="2">
        <f>DAY(EOMONTH(TA[[#This Row],[Month Year]],0))</f>
        <v>30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45809</v>
      </c>
      <c r="G1251" s="2">
        <f>DAY(EOMONTH(TA[[#This Row],[Month Year]],0))</f>
        <v>30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45809</v>
      </c>
      <c r="G1252" s="2">
        <f>DAY(EOMONTH(TA[[#This Row],[Month Year]],0))</f>
        <v>30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45809</v>
      </c>
      <c r="G1253" s="2">
        <f>DAY(EOMONTH(TA[[#This Row],[Month Year]],0))</f>
        <v>30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45809</v>
      </c>
      <c r="G1254" s="2">
        <f>DAY(EOMONTH(TA[[#This Row],[Month Year]],0))</f>
        <v>30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45809</v>
      </c>
      <c r="G1255" s="2">
        <f>DAY(EOMONTH(TA[[#This Row],[Month Year]],0))</f>
        <v>30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45809</v>
      </c>
      <c r="G1256" s="2">
        <f>DAY(EOMONTH(TA[[#This Row],[Month Year]],0))</f>
        <v>30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45809</v>
      </c>
      <c r="G1257" s="2">
        <f>DAY(EOMONTH(TA[[#This Row],[Month Year]],0))</f>
        <v>30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45809</v>
      </c>
      <c r="G1258" s="2">
        <f>DAY(EOMONTH(TA[[#This Row],[Month Year]],0))</f>
        <v>30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45809</v>
      </c>
      <c r="G1259" s="2">
        <f>DAY(EOMONTH(TA[[#This Row],[Month Year]],0))</f>
        <v>30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45809</v>
      </c>
      <c r="G1260" s="2">
        <f>DAY(EOMONTH(TA[[#This Row],[Month Year]],0))</f>
        <v>30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45809</v>
      </c>
      <c r="G1261" s="2">
        <f>DAY(EOMONTH(TA[[#This Row],[Month Year]],0))</f>
        <v>30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45809</v>
      </c>
      <c r="G1262" s="2">
        <f>DAY(EOMONTH(TA[[#This Row],[Month Year]],0))</f>
        <v>30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45809</v>
      </c>
      <c r="G1263" s="2">
        <f>DAY(EOMONTH(TA[[#This Row],[Month Year]],0))</f>
        <v>30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45809</v>
      </c>
      <c r="G1264" s="2">
        <f>DAY(EOMONTH(TA[[#This Row],[Month Year]],0))</f>
        <v>30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45809</v>
      </c>
      <c r="G1265" s="2">
        <f>DAY(EOMONTH(TA[[#This Row],[Month Year]],0))</f>
        <v>30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45809</v>
      </c>
      <c r="G1266" s="2">
        <f>DAY(EOMONTH(TA[[#This Row],[Month Year]],0))</f>
        <v>30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45809</v>
      </c>
      <c r="G1267" s="2">
        <f>DAY(EOMONTH(TA[[#This Row],[Month Year]],0))</f>
        <v>30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45809</v>
      </c>
      <c r="G1268" s="2">
        <f>DAY(EOMONTH(TA[[#This Row],[Month Year]],0))</f>
        <v>30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45809</v>
      </c>
      <c r="G1269" s="2">
        <f>DAY(EOMONTH(TA[[#This Row],[Month Year]],0))</f>
        <v>30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45809</v>
      </c>
      <c r="G1270" s="2">
        <f>DAY(EOMONTH(TA[[#This Row],[Month Year]],0))</f>
        <v>30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45809</v>
      </c>
      <c r="G1271" s="2">
        <f>DAY(EOMONTH(TA[[#This Row],[Month Year]],0))</f>
        <v>30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45809</v>
      </c>
      <c r="G1272" s="2">
        <f>DAY(EOMONTH(TA[[#This Row],[Month Year]],0))</f>
        <v>30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45809</v>
      </c>
      <c r="G1273" s="2">
        <f>DAY(EOMONTH(TA[[#This Row],[Month Year]],0))</f>
        <v>30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45809</v>
      </c>
      <c r="G1274" s="2">
        <f>DAY(EOMONTH(TA[[#This Row],[Month Year]],0))</f>
        <v>30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45809</v>
      </c>
      <c r="G1275" s="2">
        <f>DAY(EOMONTH(TA[[#This Row],[Month Year]],0))</f>
        <v>30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45809</v>
      </c>
      <c r="G1276" s="2">
        <f>DAY(EOMONTH(TA[[#This Row],[Month Year]],0))</f>
        <v>30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45809</v>
      </c>
      <c r="G1277" s="2">
        <f>DAY(EOMONTH(TA[[#This Row],[Month Year]],0))</f>
        <v>30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45809</v>
      </c>
      <c r="G1278" s="2">
        <f>DAY(EOMONTH(TA[[#This Row],[Month Year]],0))</f>
        <v>30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45809</v>
      </c>
      <c r="G1279" s="2">
        <f>DAY(EOMONTH(TA[[#This Row],[Month Year]],0))</f>
        <v>30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45809</v>
      </c>
      <c r="G1280" s="2">
        <f>DAY(EOMONTH(TA[[#This Row],[Month Year]],0))</f>
        <v>30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45809</v>
      </c>
      <c r="G1281" s="2">
        <f>DAY(EOMONTH(TA[[#This Row],[Month Year]],0))</f>
        <v>30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45809</v>
      </c>
      <c r="G1282" s="2">
        <f>DAY(EOMONTH(TA[[#This Row],[Month Year]],0))</f>
        <v>30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45809</v>
      </c>
      <c r="G1283" s="2">
        <f>DAY(EOMONTH(TA[[#This Row],[Month Year]],0))</f>
        <v>30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45809</v>
      </c>
      <c r="G1284" s="2">
        <f>DAY(EOMONTH(TA[[#This Row],[Month Year]],0))</f>
        <v>30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45809</v>
      </c>
      <c r="G1285" s="2">
        <f>DAY(EOMONTH(TA[[#This Row],[Month Year]],0))</f>
        <v>30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45809</v>
      </c>
      <c r="G1286" s="2">
        <f>DAY(EOMONTH(TA[[#This Row],[Month Year]],0))</f>
        <v>30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45809</v>
      </c>
      <c r="G1287" s="2">
        <f>DAY(EOMONTH(TA[[#This Row],[Month Year]],0))</f>
        <v>30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45809</v>
      </c>
      <c r="G1288" s="2">
        <f>DAY(EOMONTH(TA[[#This Row],[Month Year]],0))</f>
        <v>30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45809</v>
      </c>
      <c r="G1289" s="2">
        <f>DAY(EOMONTH(TA[[#This Row],[Month Year]],0))</f>
        <v>30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45809</v>
      </c>
      <c r="G1290" s="2">
        <f>DAY(EOMONTH(TA[[#This Row],[Month Year]],0))</f>
        <v>30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45809</v>
      </c>
      <c r="G1291" s="2">
        <f>DAY(EOMONTH(TA[[#This Row],[Month Year]],0))</f>
        <v>30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45809</v>
      </c>
      <c r="G1292" s="2">
        <f>DAY(EOMONTH(TA[[#This Row],[Month Year]],0))</f>
        <v>30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45809</v>
      </c>
      <c r="G1293" s="2">
        <f>DAY(EOMONTH(TA[[#This Row],[Month Year]],0))</f>
        <v>30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45809</v>
      </c>
      <c r="G1294" s="2">
        <f>DAY(EOMONTH(TA[[#This Row],[Month Year]],0))</f>
        <v>30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45809</v>
      </c>
      <c r="G1295" s="2">
        <f>DAY(EOMONTH(TA[[#This Row],[Month Year]],0))</f>
        <v>30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45809</v>
      </c>
      <c r="G1296" s="2">
        <f>DAY(EOMONTH(TA[[#This Row],[Month Year]],0))</f>
        <v>30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45809</v>
      </c>
      <c r="G1297" s="2">
        <f>DAY(EOMONTH(TA[[#This Row],[Month Year]],0))</f>
        <v>30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45809</v>
      </c>
      <c r="G1298" s="2">
        <f>DAY(EOMONTH(TA[[#This Row],[Month Year]],0))</f>
        <v>30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45809</v>
      </c>
      <c r="G1299" s="2">
        <f>DAY(EOMONTH(TA[[#This Row],[Month Year]],0))</f>
        <v>30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45809</v>
      </c>
      <c r="G1300" s="2">
        <f>DAY(EOMONTH(TA[[#This Row],[Month Year]],0))</f>
        <v>30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45809</v>
      </c>
      <c r="G1301" s="2">
        <f>DAY(EOMONTH(TA[[#This Row],[Month Year]],0))</f>
        <v>30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45809</v>
      </c>
      <c r="G1302" s="2">
        <f>DAY(EOMONTH(TA[[#This Row],[Month Year]],0))</f>
        <v>30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45809</v>
      </c>
      <c r="G1303" s="2">
        <f>DAY(EOMONTH(TA[[#This Row],[Month Year]],0))</f>
        <v>30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45809</v>
      </c>
      <c r="G1304" s="2">
        <f>DAY(EOMONTH(TA[[#This Row],[Month Year]],0))</f>
        <v>30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45809</v>
      </c>
      <c r="G1305" s="2">
        <f>DAY(EOMONTH(TA[[#This Row],[Month Year]],0))</f>
        <v>30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45809</v>
      </c>
      <c r="G1306" s="2">
        <f>DAY(EOMONTH(TA[[#This Row],[Month Year]],0))</f>
        <v>30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45809</v>
      </c>
      <c r="G1307" s="2">
        <f>DAY(EOMONTH(TA[[#This Row],[Month Year]],0))</f>
        <v>30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45809</v>
      </c>
      <c r="G1308" s="2">
        <f>DAY(EOMONTH(TA[[#This Row],[Month Year]],0))</f>
        <v>30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45809</v>
      </c>
      <c r="G1309" s="2">
        <f>DAY(EOMONTH(TA[[#This Row],[Month Year]],0))</f>
        <v>30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45809</v>
      </c>
      <c r="G1310" s="2">
        <f>DAY(EOMONTH(TA[[#This Row],[Month Year]],0))</f>
        <v>30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45809</v>
      </c>
      <c r="G1311" s="2">
        <f>DAY(EOMONTH(TA[[#This Row],[Month Year]],0))</f>
        <v>30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45809</v>
      </c>
      <c r="G1312" s="2">
        <f>DAY(EOMONTH(TA[[#This Row],[Month Year]],0))</f>
        <v>30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45809</v>
      </c>
      <c r="G1313" s="2">
        <f>DAY(EOMONTH(TA[[#This Row],[Month Year]],0))</f>
        <v>30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45809</v>
      </c>
      <c r="G1314" s="2">
        <f>DAY(EOMONTH(TA[[#This Row],[Month Year]],0))</f>
        <v>30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45809</v>
      </c>
      <c r="G1315" s="2">
        <f>DAY(EOMONTH(TA[[#This Row],[Month Year]],0))</f>
        <v>30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45809</v>
      </c>
      <c r="G1316" s="2">
        <f>DAY(EOMONTH(TA[[#This Row],[Month Year]],0))</f>
        <v>30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82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45809</v>
      </c>
      <c r="G1317" s="2">
        <f>DAY(EOMONTH(TA[[#This Row],[Month Year]],0))</f>
        <v>30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45809</v>
      </c>
      <c r="G1318" s="2">
        <f>DAY(EOMONTH(TA[[#This Row],[Month Year]],0))</f>
        <v>30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45809</v>
      </c>
      <c r="G1319" s="2">
        <f>DAY(EOMONTH(TA[[#This Row],[Month Year]],0))</f>
        <v>30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45809</v>
      </c>
      <c r="G1320" s="2">
        <f>DAY(EOMONTH(TA[[#This Row],[Month Year]],0))</f>
        <v>30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45809</v>
      </c>
      <c r="G1321" s="2">
        <f>DAY(EOMONTH(TA[[#This Row],[Month Year]],0))</f>
        <v>30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45809</v>
      </c>
      <c r="G1322" s="2">
        <f>DAY(EOMONTH(TA[[#This Row],[Month Year]],0))</f>
        <v>30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45809</v>
      </c>
      <c r="G1323" s="2">
        <f>DAY(EOMONTH(TA[[#This Row],[Month Year]],0))</f>
        <v>30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45809</v>
      </c>
      <c r="G1324" s="2">
        <f>DAY(EOMONTH(TA[[#This Row],[Month Year]],0))</f>
        <v>30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45809</v>
      </c>
      <c r="G1325" s="2">
        <f>DAY(EOMONTH(TA[[#This Row],[Month Year]],0))</f>
        <v>30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45809</v>
      </c>
      <c r="G1326" s="2">
        <f>DAY(EOMONTH(TA[[#This Row],[Month Year]],0))</f>
        <v>30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45809</v>
      </c>
      <c r="G1327" s="2">
        <f>DAY(EOMONTH(TA[[#This Row],[Month Year]],0))</f>
        <v>30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45809</v>
      </c>
      <c r="G1328" s="2">
        <f>DAY(EOMONTH(TA[[#This Row],[Month Year]],0))</f>
        <v>30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45809</v>
      </c>
      <c r="G1329" s="2">
        <f>DAY(EOMONTH(TA[[#This Row],[Month Year]],0))</f>
        <v>30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  <row r="1330" spans="1:35">
      <c r="A1330" s="2">
        <f t="shared" si="151"/>
        <v>1327</v>
      </c>
      <c r="B1330" s="156">
        <f t="shared" ref="B1330:B1342" si="154">YEAR(H1330)+IF(MONTH(H1330)&gt;=4,1,0)</f>
        <v>2026</v>
      </c>
      <c r="C1330" s="129">
        <f t="shared" ref="C1330:C1342" si="155">YEAR(H1330)</f>
        <v>2025</v>
      </c>
      <c r="D1330" s="2" t="s">
        <v>155</v>
      </c>
      <c r="E1330" s="2" t="s">
        <v>155</v>
      </c>
      <c r="F1330" s="39">
        <v>45839</v>
      </c>
      <c r="G1330" s="2">
        <f>DAY(EOMONTH(TA[[#This Row],[Month Year]],0))</f>
        <v>31</v>
      </c>
      <c r="H1330" s="21">
        <v>45839</v>
      </c>
      <c r="I1330" s="41">
        <f>IFERROR(VLOOKUP(TA[[#This Row],[Date]],Raw_Data[[Date]:[Sunset Time (POA&lt;20 W/m2)]],3,0),"")</f>
        <v>0.25833333333333336</v>
      </c>
      <c r="J1330" s="41">
        <f>IFERROR(VLOOKUP(TA[[#This Row],[Date]],Raw_Data[[Date]:[Sunset Time (POA&lt;20 W/m2)]],4,0),"")</f>
        <v>0.77083333333333337</v>
      </c>
      <c r="K1330" s="35">
        <f>IFERROR((TA[[#This Row],[Sunset Time (POA&lt;20 W/m2)]]-TA[[#This Row],[Sunrise Time (POA&gt;20 W/m2)]])*24,"")</f>
        <v>12.299999999999999</v>
      </c>
      <c r="L1330" s="2" t="s">
        <v>294</v>
      </c>
      <c r="M1330" s="42">
        <f>IFERROR(VLOOKUP(TA[[#This Row],[Affected Equipment]],'Basic Data'!$I$2:$K$40,3,0),"")</f>
        <v>1.7241379310344799E-3</v>
      </c>
      <c r="N1330">
        <v>-28</v>
      </c>
      <c r="O1330" t="s">
        <v>135</v>
      </c>
      <c r="P1330" s="127" t="s">
        <v>318</v>
      </c>
      <c r="Q1330" s="126" t="s">
        <v>318</v>
      </c>
      <c r="R1330">
        <v>131</v>
      </c>
      <c r="S1330" s="2">
        <v>38</v>
      </c>
      <c r="T1330" t="s">
        <v>295</v>
      </c>
      <c r="U1330" t="s">
        <v>300</v>
      </c>
      <c r="V1330" t="s">
        <v>298</v>
      </c>
      <c r="W1330" s="41"/>
      <c r="X1330" s="41"/>
      <c r="Y1330" s="34"/>
      <c r="Z1330" s="34"/>
      <c r="AA1330" s="35">
        <f>IF(TA[[#This Row],[Work Start time on Fault]]="NA","",(TA[[#This Row],[Fault Acknowledgement Time ]]-TA[[#This Row],[Fault Time]])*24)</f>
        <v>0</v>
      </c>
      <c r="AB1330" s="35">
        <f>(TA[[#This Row],[Work Start time on Fault]]-TA[[#This Row],[Fault Time]])*24</f>
        <v>0</v>
      </c>
      <c r="AC1330" s="34">
        <f>(TA[[#This Row],[Work Completion time on fault]]-TA[[#This Row],[Fault Time]])*24</f>
        <v>0</v>
      </c>
      <c r="AD1330" s="35">
        <f>IFERROR((TA[[#This Row],[Work Completion time on fault]]-TA[[#This Row],[Fault Time]])*24,"")</f>
        <v>0</v>
      </c>
      <c r="AE1330" t="s">
        <v>328</v>
      </c>
      <c r="AF1330" t="s">
        <v>256</v>
      </c>
      <c r="AG1330" s="2"/>
      <c r="AH1330" s="44">
        <f>1-COS(RADIANS(TA[[#This Row],[Avg. Target Angle during Fault Time (Radians)]]-TA[[#This Row],[Angle of affected equipment ]]))</f>
        <v>0.11705240714107301</v>
      </c>
      <c r="AI1330" s="35">
        <f>IFERROR(TA[[#This Row],[Breakdown Time]]*TA[[#This Row],[Plant Equivalent Weightage]],"")</f>
        <v>0</v>
      </c>
    </row>
    <row r="1331" spans="1:35">
      <c r="A1331" s="2">
        <f t="shared" si="151"/>
        <v>1328</v>
      </c>
      <c r="B1331" s="156">
        <f t="shared" si="154"/>
        <v>2026</v>
      </c>
      <c r="C1331" s="129">
        <f t="shared" si="155"/>
        <v>2025</v>
      </c>
      <c r="D1331" s="2" t="s">
        <v>155</v>
      </c>
      <c r="E1331" s="2" t="s">
        <v>155</v>
      </c>
      <c r="F1331" s="39">
        <v>45839</v>
      </c>
      <c r="G1331" s="2">
        <f>DAY(EOMONTH(TA[[#This Row],[Month Year]],0))</f>
        <v>31</v>
      </c>
      <c r="H1331" s="21">
        <v>45839</v>
      </c>
      <c r="I1331" s="41">
        <f>IFERROR(VLOOKUP(TA[[#This Row],[Date]],Raw_Data[[Date]:[Sunset Time (POA&lt;20 W/m2)]],3,0),"")</f>
        <v>0.25833333333333336</v>
      </c>
      <c r="J1331" s="41">
        <f>IFERROR(VLOOKUP(TA[[#This Row],[Date]],Raw_Data[[Date]:[Sunset Time (POA&lt;20 W/m2)]],4,0),"")</f>
        <v>0.77083333333333337</v>
      </c>
      <c r="K1331" s="35">
        <f>IFERROR((TA[[#This Row],[Sunset Time (POA&lt;20 W/m2)]]-TA[[#This Row],[Sunrise Time (POA&gt;20 W/m2)]])*24,"")</f>
        <v>12.299999999999999</v>
      </c>
      <c r="L1331" s="2" t="s">
        <v>294</v>
      </c>
      <c r="M1331" s="42">
        <f>IFERROR(VLOOKUP(TA[[#This Row],[Affected Equipment]],'Basic Data'!$I$2:$K$40,3,0),"")</f>
        <v>1.7241379310344799E-3</v>
      </c>
      <c r="N1331">
        <v>-28</v>
      </c>
      <c r="O1331" t="s">
        <v>135</v>
      </c>
      <c r="P1331" s="127" t="s">
        <v>318</v>
      </c>
      <c r="Q1331" s="126" t="s">
        <v>318</v>
      </c>
      <c r="R1331">
        <v>131</v>
      </c>
      <c r="S1331" s="2">
        <v>39</v>
      </c>
      <c r="T1331" t="s">
        <v>295</v>
      </c>
      <c r="U1331" t="s">
        <v>300</v>
      </c>
      <c r="V1331" t="s">
        <v>298</v>
      </c>
      <c r="W1331" s="41"/>
      <c r="X1331" s="41"/>
      <c r="Y1331" s="34"/>
      <c r="Z1331" s="34"/>
      <c r="AA1331" s="35">
        <f>IF(TA[[#This Row],[Work Start time on Fault]]="NA","",(TA[[#This Row],[Fault Acknowledgement Time ]]-TA[[#This Row],[Fault Time]])*24)</f>
        <v>0</v>
      </c>
      <c r="AB1331" s="35">
        <f>(TA[[#This Row],[Work Start time on Fault]]-TA[[#This Row],[Fault Time]])*24</f>
        <v>0</v>
      </c>
      <c r="AC1331" s="34">
        <f>(TA[[#This Row],[Work Completion time on fault]]-TA[[#This Row],[Fault Time]])*24</f>
        <v>0</v>
      </c>
      <c r="AD1331" s="35">
        <f>IFERROR((TA[[#This Row],[Work Completion time on fault]]-TA[[#This Row],[Fault Time]])*24,"")</f>
        <v>0</v>
      </c>
      <c r="AE1331" t="s">
        <v>328</v>
      </c>
      <c r="AF1331" t="s">
        <v>256</v>
      </c>
      <c r="AG1331" s="2"/>
      <c r="AH1331" s="44">
        <f>1-COS(RADIANS(TA[[#This Row],[Avg. Target Angle during Fault Time (Radians)]]-TA[[#This Row],[Angle of affected equipment ]]))</f>
        <v>0.11705240714107301</v>
      </c>
      <c r="AI1331" s="35">
        <f>IFERROR(TA[[#This Row],[Breakdown Time]]*TA[[#This Row],[Plant Equivalent Weightage]],"")</f>
        <v>0</v>
      </c>
    </row>
    <row r="1332" spans="1:35">
      <c r="A1332" s="2">
        <f t="shared" si="151"/>
        <v>1329</v>
      </c>
      <c r="B1332" s="156">
        <f t="shared" si="154"/>
        <v>2026</v>
      </c>
      <c r="C1332" s="129">
        <f t="shared" si="155"/>
        <v>2025</v>
      </c>
      <c r="D1332" s="2" t="s">
        <v>155</v>
      </c>
      <c r="E1332" s="2" t="s">
        <v>155</v>
      </c>
      <c r="F1332" s="39">
        <v>45839</v>
      </c>
      <c r="G1332" s="2">
        <f>DAY(EOMONTH(TA[[#This Row],[Month Year]],0))</f>
        <v>31</v>
      </c>
      <c r="H1332" s="21">
        <v>45839</v>
      </c>
      <c r="I1332" s="41">
        <f>IFERROR(VLOOKUP(TA[[#This Row],[Date]],Raw_Data[[Date]:[Sunset Time (POA&lt;20 W/m2)]],3,0),"")</f>
        <v>0.25833333333333336</v>
      </c>
      <c r="J1332" s="41">
        <f>IFERROR(VLOOKUP(TA[[#This Row],[Date]],Raw_Data[[Date]:[Sunset Time (POA&lt;20 W/m2)]],4,0),"")</f>
        <v>0.77083333333333337</v>
      </c>
      <c r="K1332" s="35">
        <f>IFERROR((TA[[#This Row],[Sunset Time (POA&lt;20 W/m2)]]-TA[[#This Row],[Sunrise Time (POA&gt;20 W/m2)]])*24,"")</f>
        <v>12.299999999999999</v>
      </c>
      <c r="L1332" s="2" t="s">
        <v>296</v>
      </c>
      <c r="M1332" s="42">
        <f>IFERROR(VLOOKUP(TA[[#This Row],[Affected Equipment]],'Basic Data'!$I$2:$K$40,3,0),"")</f>
        <v>8.6206896551724102E-3</v>
      </c>
      <c r="N1332">
        <v>-28</v>
      </c>
      <c r="O1332" t="s">
        <v>135</v>
      </c>
      <c r="P1332" s="127" t="s">
        <v>318</v>
      </c>
      <c r="Q1332" s="2" t="s">
        <v>321</v>
      </c>
      <c r="R1332">
        <v>133</v>
      </c>
      <c r="S1332" s="2">
        <v>26</v>
      </c>
      <c r="T1332" t="s">
        <v>297</v>
      </c>
      <c r="U1332" t="s">
        <v>300</v>
      </c>
      <c r="V1332" t="s">
        <v>314</v>
      </c>
      <c r="W1332" s="41">
        <f>IFERROR(VLOOKUP(TA[[#This Row],[Date]],Raw_Data[[Date]:[Sunset Time (POA&lt;20 W/m2)]],3,0),"")</f>
        <v>0.25833333333333336</v>
      </c>
      <c r="X1332" s="41">
        <f>IFERROR(VLOOKUP(TA[[#This Row],[Date]],Raw_Data[[Date]:[Sunset Time (POA&lt;20 W/m2)]],3,0),"")</f>
        <v>0.25833333333333336</v>
      </c>
      <c r="Y1332" s="34"/>
      <c r="Z1332" s="34">
        <v>0.76041666666666663</v>
      </c>
      <c r="AA1332" s="35">
        <f>IF(TA[[#This Row],[Work Start time on Fault]]="NA","",(TA[[#This Row],[Fault Acknowledgement Time ]]-TA[[#This Row],[Fault Time]])*24)</f>
        <v>0</v>
      </c>
      <c r="AB1332" s="35">
        <f>(TA[[#This Row],[Work Start time on Fault]]-TA[[#This Row],[Fault Time]])*24</f>
        <v>-6.2000000000000011</v>
      </c>
      <c r="AC1332" s="34">
        <f>(TA[[#This Row],[Work Completion time on fault]]-TA[[#This Row],[Fault Time]])*24</f>
        <v>12.049999999999997</v>
      </c>
      <c r="AD1332" s="35">
        <f>IFERROR((TA[[#This Row],[Work Completion time on fault]]-TA[[#This Row],[Fault Time]])*24,"")</f>
        <v>12.049999999999997</v>
      </c>
      <c r="AE1332" t="s">
        <v>328</v>
      </c>
      <c r="AF1332" t="s">
        <v>256</v>
      </c>
      <c r="AG1332" s="2"/>
      <c r="AH1332" s="44">
        <f>1-COS(RADIANS(TA[[#This Row],[Avg. Target Angle during Fault Time (Radians)]]-TA[[#This Row],[Angle of affected equipment ]]))</f>
        <v>0.11705240714107301</v>
      </c>
      <c r="AI1332" s="35">
        <f>IFERROR(TA[[#This Row],[Breakdown Time]]*TA[[#This Row],[Plant Equivalent Weightage]],"")</f>
        <v>0.10387931034482752</v>
      </c>
    </row>
    <row r="1333" spans="1:35">
      <c r="A1333" s="2">
        <f t="shared" si="151"/>
        <v>1330</v>
      </c>
      <c r="B1333" s="156">
        <f t="shared" si="154"/>
        <v>2026</v>
      </c>
      <c r="C1333" s="129">
        <f t="shared" si="155"/>
        <v>2025</v>
      </c>
      <c r="D1333" s="2" t="s">
        <v>155</v>
      </c>
      <c r="E1333" s="2" t="s">
        <v>155</v>
      </c>
      <c r="F1333" s="39">
        <v>45839</v>
      </c>
      <c r="G1333" s="2">
        <f>DAY(EOMONTH(TA[[#This Row],[Month Year]],0))</f>
        <v>31</v>
      </c>
      <c r="H1333" s="21">
        <v>45839</v>
      </c>
      <c r="I1333" s="41">
        <f>IFERROR(VLOOKUP(TA[[#This Row],[Date]],Raw_Data[[Date]:[Sunset Time (POA&lt;20 W/m2)]],3,0),"")</f>
        <v>0.25833333333333336</v>
      </c>
      <c r="J1333" s="41">
        <f>IFERROR(VLOOKUP(TA[[#This Row],[Date]],Raw_Data[[Date]:[Sunset Time (POA&lt;20 W/m2)]],4,0),"")</f>
        <v>0.77083333333333337</v>
      </c>
      <c r="K1333" s="35">
        <f>IFERROR((TA[[#This Row],[Sunset Time (POA&lt;20 W/m2)]]-TA[[#This Row],[Sunrise Time (POA&gt;20 W/m2)]])*24,"")</f>
        <v>12.299999999999999</v>
      </c>
      <c r="L1333" s="2" t="s">
        <v>294</v>
      </c>
      <c r="M1333" s="42">
        <f>IFERROR(VLOOKUP(TA[[#This Row],[Affected Equipment]],'Basic Data'!$I$2:$K$40,3,0),"")</f>
        <v>1.7241379310344799E-3</v>
      </c>
      <c r="N1333">
        <v>-28</v>
      </c>
      <c r="O1333" t="s">
        <v>133</v>
      </c>
      <c r="P1333" s="127" t="s">
        <v>316</v>
      </c>
      <c r="Q1333" s="126" t="s">
        <v>317</v>
      </c>
      <c r="R1333">
        <v>7</v>
      </c>
      <c r="S1333" s="2">
        <v>32</v>
      </c>
      <c r="T1333" t="s">
        <v>295</v>
      </c>
      <c r="U1333" t="s">
        <v>300</v>
      </c>
      <c r="V1333" t="s">
        <v>298</v>
      </c>
      <c r="W1333" s="41"/>
      <c r="X1333" s="41"/>
      <c r="Y1333" s="34"/>
      <c r="Z1333" s="34"/>
      <c r="AA1333" s="35">
        <f>IF(TA[[#This Row],[Work Start time on Fault]]="NA","",(TA[[#This Row],[Fault Acknowledgement Time ]]-TA[[#This Row],[Fault Time]])*24)</f>
        <v>0</v>
      </c>
      <c r="AB1333" s="35">
        <f>(TA[[#This Row],[Work Start time on Fault]]-TA[[#This Row],[Fault Time]])*24</f>
        <v>0</v>
      </c>
      <c r="AC1333" s="34">
        <f>(TA[[#This Row],[Work Completion time on fault]]-TA[[#This Row],[Fault Time]])*24</f>
        <v>0</v>
      </c>
      <c r="AD1333" s="35">
        <f>IFERROR((TA[[#This Row],[Work Completion time on fault]]-TA[[#This Row],[Fault Time]])*24,"")</f>
        <v>0</v>
      </c>
      <c r="AE1333" t="s">
        <v>328</v>
      </c>
      <c r="AF1333" t="s">
        <v>256</v>
      </c>
      <c r="AG1333" s="2"/>
      <c r="AH1333" s="44">
        <f>1-COS(RADIANS(TA[[#This Row],[Avg. Target Angle during Fault Time (Radians)]]-TA[[#This Row],[Angle of affected equipment ]]))</f>
        <v>0.11705240714107301</v>
      </c>
      <c r="AI1333" s="35">
        <f>IFERROR(TA[[#This Row],[Breakdown Time]]*TA[[#This Row],[Plant Equivalent Weightage]],"")</f>
        <v>0</v>
      </c>
    </row>
    <row r="1334" spans="1:35">
      <c r="A1334" s="2">
        <f t="shared" si="151"/>
        <v>1331</v>
      </c>
      <c r="B1334" s="156">
        <f t="shared" si="154"/>
        <v>2026</v>
      </c>
      <c r="C1334" s="129">
        <f t="shared" si="155"/>
        <v>2025</v>
      </c>
      <c r="D1334" s="2" t="s">
        <v>155</v>
      </c>
      <c r="E1334" s="2" t="s">
        <v>155</v>
      </c>
      <c r="F1334" s="39">
        <v>45839</v>
      </c>
      <c r="G1334" s="2">
        <f>DAY(EOMONTH(TA[[#This Row],[Month Year]],0))</f>
        <v>31</v>
      </c>
      <c r="H1334" s="21">
        <v>45839</v>
      </c>
      <c r="I1334" s="41">
        <f>IFERROR(VLOOKUP(TA[[#This Row],[Date]],Raw_Data[[Date]:[Sunset Time (POA&lt;20 W/m2)]],3,0),"")</f>
        <v>0.25833333333333336</v>
      </c>
      <c r="J1334" s="41">
        <f>IFERROR(VLOOKUP(TA[[#This Row],[Date]],Raw_Data[[Date]:[Sunset Time (POA&lt;20 W/m2)]],4,0),"")</f>
        <v>0.77083333333333337</v>
      </c>
      <c r="K1334" s="35">
        <f>IFERROR((TA[[#This Row],[Sunset Time (POA&lt;20 W/m2)]]-TA[[#This Row],[Sunrise Time (POA&gt;20 W/m2)]])*24,"")</f>
        <v>12.299999999999999</v>
      </c>
      <c r="L1334" s="2" t="s">
        <v>294</v>
      </c>
      <c r="M1334" s="42">
        <f>IFERROR(VLOOKUP(TA[[#This Row],[Affected Equipment]],'Basic Data'!$I$2:$K$40,3,0),"")</f>
        <v>1.7241379310344799E-3</v>
      </c>
      <c r="N1334">
        <v>-28</v>
      </c>
      <c r="O1334" t="s">
        <v>137</v>
      </c>
      <c r="P1334" s="127" t="s">
        <v>315</v>
      </c>
      <c r="Q1334" s="126" t="s">
        <v>319</v>
      </c>
      <c r="R1334">
        <v>166</v>
      </c>
      <c r="S1334" s="2">
        <v>91</v>
      </c>
      <c r="T1334" t="s">
        <v>295</v>
      </c>
      <c r="U1334" t="s">
        <v>300</v>
      </c>
      <c r="V1334" t="s">
        <v>298</v>
      </c>
      <c r="W1334" s="41"/>
      <c r="X1334" s="41"/>
      <c r="Y1334" s="34"/>
      <c r="Z1334" s="34"/>
      <c r="AA1334" s="35">
        <f>IF(TA[[#This Row],[Work Start time on Fault]]="NA","",(TA[[#This Row],[Fault Acknowledgement Time ]]-TA[[#This Row],[Fault Time]])*24)</f>
        <v>0</v>
      </c>
      <c r="AB1334" s="35">
        <f>(TA[[#This Row],[Work Start time on Fault]]-TA[[#This Row],[Fault Time]])*24</f>
        <v>0</v>
      </c>
      <c r="AC1334" s="34">
        <f>(TA[[#This Row],[Work Completion time on fault]]-TA[[#This Row],[Fault Time]])*24</f>
        <v>0</v>
      </c>
      <c r="AD1334" s="35">
        <f>IFERROR((TA[[#This Row],[Work Completion time on fault]]-TA[[#This Row],[Fault Time]])*24,"")</f>
        <v>0</v>
      </c>
      <c r="AE1334" t="s">
        <v>328</v>
      </c>
      <c r="AF1334" t="s">
        <v>256</v>
      </c>
      <c r="AG1334" s="2"/>
      <c r="AH1334" s="44">
        <f>1-COS(RADIANS(TA[[#This Row],[Avg. Target Angle during Fault Time (Radians)]]-TA[[#This Row],[Angle of affected equipment ]]))</f>
        <v>0.11705240714107301</v>
      </c>
      <c r="AI1334" s="35">
        <f>IFERROR(TA[[#This Row],[Breakdown Time]]*TA[[#This Row],[Plant Equivalent Weightage]],"")</f>
        <v>0</v>
      </c>
    </row>
    <row r="1335" spans="1:35">
      <c r="A1335" s="2">
        <f t="shared" si="151"/>
        <v>1332</v>
      </c>
      <c r="B1335" s="156">
        <f t="shared" si="154"/>
        <v>2026</v>
      </c>
      <c r="C1335" s="129">
        <f t="shared" si="155"/>
        <v>2025</v>
      </c>
      <c r="D1335" s="2" t="s">
        <v>155</v>
      </c>
      <c r="E1335" s="2" t="s">
        <v>155</v>
      </c>
      <c r="F1335" s="39">
        <v>45839</v>
      </c>
      <c r="G1335" s="2">
        <f>DAY(EOMONTH(TA[[#This Row],[Month Year]],0))</f>
        <v>31</v>
      </c>
      <c r="H1335" s="21">
        <v>45839</v>
      </c>
      <c r="I1335" s="41">
        <f>IFERROR(VLOOKUP(TA[[#This Row],[Date]],Raw_Data[[Date]:[Sunset Time (POA&lt;20 W/m2)]],3,0),"")</f>
        <v>0.25833333333333336</v>
      </c>
      <c r="J1335" s="41">
        <f>IFERROR(VLOOKUP(TA[[#This Row],[Date]],Raw_Data[[Date]:[Sunset Time (POA&lt;20 W/m2)]],4,0),"")</f>
        <v>0.77083333333333337</v>
      </c>
      <c r="K1335" s="35">
        <f>IFERROR((TA[[#This Row],[Sunset Time (POA&lt;20 W/m2)]]-TA[[#This Row],[Sunrise Time (POA&gt;20 W/m2)]])*24,"")</f>
        <v>12.299999999999999</v>
      </c>
      <c r="L1335" s="2" t="s">
        <v>294</v>
      </c>
      <c r="M1335" s="42">
        <f>IFERROR(VLOOKUP(TA[[#This Row],[Affected Equipment]],'Basic Data'!$I$2:$K$40,3,0),"")</f>
        <v>1.7241379310344799E-3</v>
      </c>
      <c r="N1335">
        <v>-28</v>
      </c>
      <c r="O1335" t="s">
        <v>133</v>
      </c>
      <c r="P1335" s="127" t="s">
        <v>316</v>
      </c>
      <c r="Q1335" s="126" t="s">
        <v>316</v>
      </c>
      <c r="R1335">
        <v>117</v>
      </c>
      <c r="S1335" s="2">
        <v>20</v>
      </c>
      <c r="T1335" t="s">
        <v>295</v>
      </c>
      <c r="U1335" t="s">
        <v>300</v>
      </c>
      <c r="V1335" t="s">
        <v>298</v>
      </c>
      <c r="W1335" s="41"/>
      <c r="X1335" s="41"/>
      <c r="Y1335" s="34"/>
      <c r="Z1335" s="34"/>
      <c r="AA1335" s="35">
        <f>IF(TA[[#This Row],[Work Start time on Fault]]="NA","",(TA[[#This Row],[Fault Acknowledgement Time ]]-TA[[#This Row],[Fault Time]])*24)</f>
        <v>0</v>
      </c>
      <c r="AB1335" s="35">
        <f>(TA[[#This Row],[Work Start time on Fault]]-TA[[#This Row],[Fault Time]])*24</f>
        <v>0</v>
      </c>
      <c r="AC1335" s="34">
        <f>(TA[[#This Row],[Work Completion time on fault]]-TA[[#This Row],[Fault Time]])*24</f>
        <v>0</v>
      </c>
      <c r="AD1335" s="35">
        <f>IFERROR((TA[[#This Row],[Work Completion time on fault]]-TA[[#This Row],[Fault Time]])*24,"")</f>
        <v>0</v>
      </c>
      <c r="AE1335" t="s">
        <v>328</v>
      </c>
      <c r="AF1335" t="s">
        <v>256</v>
      </c>
      <c r="AG1335" s="2"/>
      <c r="AH1335" s="44">
        <f>1-COS(RADIANS(TA[[#This Row],[Avg. Target Angle during Fault Time (Radians)]]-TA[[#This Row],[Angle of affected equipment ]]))</f>
        <v>0.11705240714107301</v>
      </c>
      <c r="AI1335" s="35">
        <f>IFERROR(TA[[#This Row],[Breakdown Time]]*TA[[#This Row],[Plant Equivalent Weightage]],"")</f>
        <v>0</v>
      </c>
    </row>
    <row r="1336" spans="1:35">
      <c r="A1336" s="2">
        <f t="shared" si="151"/>
        <v>1333</v>
      </c>
      <c r="B1336" s="156">
        <f t="shared" si="154"/>
        <v>2026</v>
      </c>
      <c r="C1336" s="129">
        <f t="shared" si="155"/>
        <v>2025</v>
      </c>
      <c r="D1336" s="2" t="s">
        <v>155</v>
      </c>
      <c r="E1336" s="2" t="s">
        <v>155</v>
      </c>
      <c r="F1336" s="39">
        <v>45839</v>
      </c>
      <c r="G1336" s="2">
        <f>DAY(EOMONTH(TA[[#This Row],[Month Year]],0))</f>
        <v>31</v>
      </c>
      <c r="H1336" s="21">
        <v>45839</v>
      </c>
      <c r="I1336" s="41">
        <f>IFERROR(VLOOKUP(TA[[#This Row],[Date]],Raw_Data[[Date]:[Sunset Time (POA&lt;20 W/m2)]],3,0),"")</f>
        <v>0.25833333333333336</v>
      </c>
      <c r="J1336" s="41">
        <f>IFERROR(VLOOKUP(TA[[#This Row],[Date]],Raw_Data[[Date]:[Sunset Time (POA&lt;20 W/m2)]],4,0),"")</f>
        <v>0.77083333333333337</v>
      </c>
      <c r="K1336" s="35">
        <f>IFERROR((TA[[#This Row],[Sunset Time (POA&lt;20 W/m2)]]-TA[[#This Row],[Sunrise Time (POA&gt;20 W/m2)]])*24,"")</f>
        <v>12.299999999999999</v>
      </c>
      <c r="L1336" s="2" t="s">
        <v>294</v>
      </c>
      <c r="M1336" s="42">
        <f>IFERROR(VLOOKUP(TA[[#This Row],[Affected Equipment]],'Basic Data'!$I$2:$K$40,3,0),"")</f>
        <v>1.7241379310344799E-3</v>
      </c>
      <c r="N1336">
        <v>-28</v>
      </c>
      <c r="O1336" t="s">
        <v>133</v>
      </c>
      <c r="P1336" s="127" t="s">
        <v>316</v>
      </c>
      <c r="Q1336" s="126" t="s">
        <v>316</v>
      </c>
      <c r="R1336">
        <v>118</v>
      </c>
      <c r="S1336" s="2">
        <v>22</v>
      </c>
      <c r="T1336" t="s">
        <v>295</v>
      </c>
      <c r="U1336" t="s">
        <v>300</v>
      </c>
      <c r="V1336" t="s">
        <v>298</v>
      </c>
      <c r="W1336" s="41"/>
      <c r="X1336" s="41"/>
      <c r="Y1336" s="34"/>
      <c r="Z1336" s="34"/>
      <c r="AA1336" s="35">
        <f>IF(TA[[#This Row],[Work Start time on Fault]]="NA","",(TA[[#This Row],[Fault Acknowledgement Time ]]-TA[[#This Row],[Fault Time]])*24)</f>
        <v>0</v>
      </c>
      <c r="AB1336" s="35">
        <f>(TA[[#This Row],[Work Start time on Fault]]-TA[[#This Row],[Fault Time]])*24</f>
        <v>0</v>
      </c>
      <c r="AC1336" s="34">
        <f>(TA[[#This Row],[Work Completion time on fault]]-TA[[#This Row],[Fault Time]])*24</f>
        <v>0</v>
      </c>
      <c r="AD1336" s="35">
        <f>IFERROR((TA[[#This Row],[Work Completion time on fault]]-TA[[#This Row],[Fault Time]])*24,"")</f>
        <v>0</v>
      </c>
      <c r="AE1336" t="s">
        <v>328</v>
      </c>
      <c r="AF1336" t="s">
        <v>256</v>
      </c>
      <c r="AG1336" s="2"/>
      <c r="AH1336" s="44">
        <f>1-COS(RADIANS(TA[[#This Row],[Avg. Target Angle during Fault Time (Radians)]]-TA[[#This Row],[Angle of affected equipment ]]))</f>
        <v>0.11705240714107301</v>
      </c>
      <c r="AI1336" s="35">
        <f>IFERROR(TA[[#This Row],[Breakdown Time]]*TA[[#This Row],[Plant Equivalent Weightage]],"")</f>
        <v>0</v>
      </c>
    </row>
    <row r="1337" spans="1:35">
      <c r="A1337" s="2">
        <f t="shared" si="151"/>
        <v>1334</v>
      </c>
      <c r="B1337" s="156">
        <f t="shared" si="154"/>
        <v>2026</v>
      </c>
      <c r="C1337" s="129">
        <f t="shared" si="155"/>
        <v>2025</v>
      </c>
      <c r="D1337" s="2" t="s">
        <v>155</v>
      </c>
      <c r="E1337" s="2" t="s">
        <v>155</v>
      </c>
      <c r="F1337" s="39">
        <v>45839</v>
      </c>
      <c r="G1337" s="2">
        <f>DAY(EOMONTH(TA[[#This Row],[Month Year]],0))</f>
        <v>31</v>
      </c>
      <c r="H1337" s="21">
        <v>45839</v>
      </c>
      <c r="I1337" s="41">
        <f>IFERROR(VLOOKUP(TA[[#This Row],[Date]],Raw_Data[[Date]:[Sunset Time (POA&lt;20 W/m2)]],3,0),"")</f>
        <v>0.25833333333333336</v>
      </c>
      <c r="J1337" s="41">
        <f>IFERROR(VLOOKUP(TA[[#This Row],[Date]],Raw_Data[[Date]:[Sunset Time (POA&lt;20 W/m2)]],4,0),"")</f>
        <v>0.77083333333333337</v>
      </c>
      <c r="K1337" s="35">
        <f>IFERROR((TA[[#This Row],[Sunset Time (POA&lt;20 W/m2)]]-TA[[#This Row],[Sunrise Time (POA&gt;20 W/m2)]])*24,"")</f>
        <v>12.299999999999999</v>
      </c>
      <c r="L1337" s="2" t="s">
        <v>296</v>
      </c>
      <c r="M1337" s="42">
        <f>IFERROR(VLOOKUP(TA[[#This Row],[Affected Equipment]],'Basic Data'!$I$2:$K$40,3,0),"")</f>
        <v>8.6206896551724102E-3</v>
      </c>
      <c r="N1337">
        <v>-28</v>
      </c>
      <c r="O1337" t="s">
        <v>135</v>
      </c>
      <c r="P1337" s="22" t="s">
        <v>323</v>
      </c>
      <c r="Q1337" s="2" t="s">
        <v>329</v>
      </c>
      <c r="R1337">
        <v>45</v>
      </c>
      <c r="S1337" s="2">
        <v>8</v>
      </c>
      <c r="T1337" t="s">
        <v>297</v>
      </c>
      <c r="U1337" t="s">
        <v>300</v>
      </c>
      <c r="V1337" t="s">
        <v>301</v>
      </c>
      <c r="W1337" s="41"/>
      <c r="X1337" s="41"/>
      <c r="Y1337" s="34"/>
      <c r="Z1337" s="34"/>
      <c r="AA1337" s="35">
        <f>IF(TA[[#This Row],[Work Start time on Fault]]="NA","",(TA[[#This Row],[Fault Acknowledgement Time ]]-TA[[#This Row],[Fault Time]])*24)</f>
        <v>0</v>
      </c>
      <c r="AB1337" s="35">
        <f>(TA[[#This Row],[Work Start time on Fault]]-TA[[#This Row],[Fault Time]])*24</f>
        <v>0</v>
      </c>
      <c r="AC1337" s="34">
        <f>(TA[[#This Row],[Work Completion time on fault]]-TA[[#This Row],[Fault Time]])*24</f>
        <v>0</v>
      </c>
      <c r="AD1337" s="35">
        <f>IFERROR((TA[[#This Row],[Work Completion time on fault]]-TA[[#This Row],[Fault Time]])*24,"")</f>
        <v>0</v>
      </c>
      <c r="AE1337" t="s">
        <v>328</v>
      </c>
      <c r="AF1337" t="s">
        <v>256</v>
      </c>
      <c r="AG1337" s="2"/>
      <c r="AH1337" s="44">
        <f>1-COS(RADIANS(TA[[#This Row],[Avg. Target Angle during Fault Time (Radians)]]-TA[[#This Row],[Angle of affected equipment ]]))</f>
        <v>0.11705240714107301</v>
      </c>
      <c r="AI1337" s="35">
        <f>IFERROR(TA[[#This Row],[Breakdown Time]]*TA[[#This Row],[Plant Equivalent Weightage]],"")</f>
        <v>0</v>
      </c>
    </row>
    <row r="1338" spans="1:35">
      <c r="A1338" s="2">
        <f t="shared" si="151"/>
        <v>1335</v>
      </c>
      <c r="B1338" s="156">
        <f t="shared" si="154"/>
        <v>2026</v>
      </c>
      <c r="C1338" s="129">
        <f t="shared" si="155"/>
        <v>2025</v>
      </c>
      <c r="D1338" s="2" t="s">
        <v>155</v>
      </c>
      <c r="E1338" s="2" t="s">
        <v>155</v>
      </c>
      <c r="F1338" s="39">
        <v>45839</v>
      </c>
      <c r="G1338" s="2">
        <f>DAY(EOMONTH(TA[[#This Row],[Month Year]],0))</f>
        <v>31</v>
      </c>
      <c r="H1338" s="21">
        <v>45839</v>
      </c>
      <c r="I1338" s="41">
        <f>IFERROR(VLOOKUP(TA[[#This Row],[Date]],Raw_Data[[Date]:[Sunset Time (POA&lt;20 W/m2)]],3,0),"")</f>
        <v>0.25833333333333336</v>
      </c>
      <c r="J1338" s="41">
        <f>IFERROR(VLOOKUP(TA[[#This Row],[Date]],Raw_Data[[Date]:[Sunset Time (POA&lt;20 W/m2)]],4,0),"")</f>
        <v>0.77083333333333337</v>
      </c>
      <c r="K1338" s="35">
        <f>IFERROR((TA[[#This Row],[Sunset Time (POA&lt;20 W/m2)]]-TA[[#This Row],[Sunrise Time (POA&gt;20 W/m2)]])*24,"")</f>
        <v>12.299999999999999</v>
      </c>
      <c r="L1338" s="2" t="s">
        <v>296</v>
      </c>
      <c r="M1338" s="42">
        <f>IFERROR(VLOOKUP(TA[[#This Row],[Affected Equipment]],'Basic Data'!$I$2:$K$40,3,0),"")</f>
        <v>8.6206896551724102E-3</v>
      </c>
      <c r="N1338">
        <v>-28</v>
      </c>
      <c r="O1338" t="s">
        <v>135</v>
      </c>
      <c r="P1338" s="22" t="s">
        <v>323</v>
      </c>
      <c r="Q1338" s="2" t="s">
        <v>329</v>
      </c>
      <c r="R1338">
        <v>47</v>
      </c>
      <c r="S1338" s="2">
        <v>18</v>
      </c>
      <c r="T1338" t="s">
        <v>297</v>
      </c>
      <c r="U1338" t="s">
        <v>300</v>
      </c>
      <c r="V1338" t="s">
        <v>301</v>
      </c>
      <c r="W1338" s="41"/>
      <c r="X1338" s="41"/>
      <c r="Y1338" s="34"/>
      <c r="Z1338" s="34"/>
      <c r="AA1338" s="35">
        <f>IF(TA[[#This Row],[Work Start time on Fault]]="NA","",(TA[[#This Row],[Fault Acknowledgement Time ]]-TA[[#This Row],[Fault Time]])*24)</f>
        <v>0</v>
      </c>
      <c r="AB1338" s="35">
        <f>(TA[[#This Row],[Work Start time on Fault]]-TA[[#This Row],[Fault Time]])*24</f>
        <v>0</v>
      </c>
      <c r="AC1338" s="34">
        <f>(TA[[#This Row],[Work Completion time on fault]]-TA[[#This Row],[Fault Time]])*24</f>
        <v>0</v>
      </c>
      <c r="AD1338" s="35">
        <f>IFERROR((TA[[#This Row],[Work Completion time on fault]]-TA[[#This Row],[Fault Time]])*24,"")</f>
        <v>0</v>
      </c>
      <c r="AE1338" t="s">
        <v>328</v>
      </c>
      <c r="AF1338" t="s">
        <v>256</v>
      </c>
      <c r="AG1338" s="2"/>
      <c r="AH1338" s="44">
        <f>1-COS(RADIANS(TA[[#This Row],[Avg. Target Angle during Fault Time (Radians)]]-TA[[#This Row],[Angle of affected equipment ]]))</f>
        <v>0.11705240714107301</v>
      </c>
      <c r="AI1338" s="35">
        <f>IFERROR(TA[[#This Row],[Breakdown Time]]*TA[[#This Row],[Plant Equivalent Weightage]],"")</f>
        <v>0</v>
      </c>
    </row>
    <row r="1339" spans="1:35">
      <c r="A1339" s="2">
        <f t="shared" si="151"/>
        <v>1336</v>
      </c>
      <c r="B1339" s="156">
        <f t="shared" si="154"/>
        <v>2026</v>
      </c>
      <c r="C1339" s="129">
        <f t="shared" si="155"/>
        <v>2025</v>
      </c>
      <c r="D1339" s="2" t="s">
        <v>155</v>
      </c>
      <c r="E1339" s="2" t="s">
        <v>155</v>
      </c>
      <c r="F1339" s="39">
        <v>45839</v>
      </c>
      <c r="G1339" s="2">
        <f>DAY(EOMONTH(TA[[#This Row],[Month Year]],0))</f>
        <v>31</v>
      </c>
      <c r="H1339" s="21">
        <v>45839</v>
      </c>
      <c r="I1339" s="41">
        <f>IFERROR(VLOOKUP(TA[[#This Row],[Date]],Raw_Data[[Date]:[Sunset Time (POA&lt;20 W/m2)]],3,0),"")</f>
        <v>0.25833333333333336</v>
      </c>
      <c r="J1339" s="41">
        <f>IFERROR(VLOOKUP(TA[[#This Row],[Date]],Raw_Data[[Date]:[Sunset Time (POA&lt;20 W/m2)]],4,0),"")</f>
        <v>0.77083333333333337</v>
      </c>
      <c r="K1339" s="35">
        <f>IFERROR((TA[[#This Row],[Sunset Time (POA&lt;20 W/m2)]]-TA[[#This Row],[Sunrise Time (POA&gt;20 W/m2)]])*24,"")</f>
        <v>12.299999999999999</v>
      </c>
      <c r="L1339" s="2" t="s">
        <v>296</v>
      </c>
      <c r="M1339" s="42">
        <f>IFERROR(VLOOKUP(TA[[#This Row],[Affected Equipment]],'Basic Data'!$I$2:$K$40,3,0),"")</f>
        <v>8.6206896551724102E-3</v>
      </c>
      <c r="N1339">
        <v>-28</v>
      </c>
      <c r="O1339" t="s">
        <v>134</v>
      </c>
      <c r="P1339" s="22" t="s">
        <v>330</v>
      </c>
      <c r="Q1339" s="2" t="s">
        <v>323</v>
      </c>
      <c r="R1339">
        <v>30</v>
      </c>
      <c r="S1339" s="2">
        <v>57</v>
      </c>
      <c r="T1339" t="s">
        <v>297</v>
      </c>
      <c r="U1339" t="s">
        <v>300</v>
      </c>
      <c r="V1339" t="s">
        <v>301</v>
      </c>
      <c r="W1339" s="41"/>
      <c r="X1339" s="41"/>
      <c r="Y1339" s="34"/>
      <c r="Z1339" s="34"/>
      <c r="AA1339" s="35">
        <f>IF(TA[[#This Row],[Work Start time on Fault]]="NA","",(TA[[#This Row],[Fault Acknowledgement Time ]]-TA[[#This Row],[Fault Time]])*24)</f>
        <v>0</v>
      </c>
      <c r="AB1339" s="35">
        <f>(TA[[#This Row],[Work Start time on Fault]]-TA[[#This Row],[Fault Time]])*24</f>
        <v>0</v>
      </c>
      <c r="AC1339" s="34">
        <f>(TA[[#This Row],[Work Completion time on fault]]-TA[[#This Row],[Fault Time]])*24</f>
        <v>0</v>
      </c>
      <c r="AD1339" s="35">
        <f>IFERROR((TA[[#This Row],[Work Completion time on fault]]-TA[[#This Row],[Fault Time]])*24,"")</f>
        <v>0</v>
      </c>
      <c r="AE1339" t="s">
        <v>328</v>
      </c>
      <c r="AF1339" t="s">
        <v>256</v>
      </c>
      <c r="AG1339" s="2"/>
      <c r="AH1339" s="44">
        <f>1-COS(RADIANS(TA[[#This Row],[Avg. Target Angle during Fault Time (Radians)]]-TA[[#This Row],[Angle of affected equipment ]]))</f>
        <v>0.11705240714107301</v>
      </c>
      <c r="AI1339" s="35">
        <f>IFERROR(TA[[#This Row],[Breakdown Time]]*TA[[#This Row],[Plant Equivalent Weightage]],"")</f>
        <v>0</v>
      </c>
    </row>
    <row r="1340" spans="1:35">
      <c r="A1340" s="2">
        <f t="shared" si="151"/>
        <v>1337</v>
      </c>
      <c r="B1340" s="156">
        <f t="shared" si="154"/>
        <v>2026</v>
      </c>
      <c r="C1340" s="129">
        <f t="shared" si="155"/>
        <v>2025</v>
      </c>
      <c r="D1340" s="2" t="s">
        <v>155</v>
      </c>
      <c r="E1340" s="2" t="s">
        <v>155</v>
      </c>
      <c r="F1340" s="39">
        <v>45839</v>
      </c>
      <c r="G1340" s="2">
        <f>DAY(EOMONTH(TA[[#This Row],[Month Year]],0))</f>
        <v>31</v>
      </c>
      <c r="H1340" s="21">
        <v>45839</v>
      </c>
      <c r="I1340" s="41">
        <f>IFERROR(VLOOKUP(TA[[#This Row],[Date]],Raw_Data[[Date]:[Sunset Time (POA&lt;20 W/m2)]],3,0),"")</f>
        <v>0.25833333333333336</v>
      </c>
      <c r="J1340" s="41">
        <f>IFERROR(VLOOKUP(TA[[#This Row],[Date]],Raw_Data[[Date]:[Sunset Time (POA&lt;20 W/m2)]],4,0),"")</f>
        <v>0.77083333333333337</v>
      </c>
      <c r="K1340" s="35">
        <f>IFERROR((TA[[#This Row],[Sunset Time (POA&lt;20 W/m2)]]-TA[[#This Row],[Sunrise Time (POA&gt;20 W/m2)]])*24,"")</f>
        <v>12.299999999999999</v>
      </c>
      <c r="L1340" s="2" t="s">
        <v>296</v>
      </c>
      <c r="M1340" s="42">
        <f>IFERROR(VLOOKUP(TA[[#This Row],[Affected Equipment]],'Basic Data'!$I$2:$K$40,3,0),"")</f>
        <v>8.6206896551724102E-3</v>
      </c>
      <c r="N1340">
        <v>-28</v>
      </c>
      <c r="O1340" t="s">
        <v>134</v>
      </c>
      <c r="P1340" s="22" t="s">
        <v>330</v>
      </c>
      <c r="Q1340" s="2" t="s">
        <v>323</v>
      </c>
      <c r="R1340">
        <v>31</v>
      </c>
      <c r="S1340" s="2">
        <v>61</v>
      </c>
      <c r="T1340" t="s">
        <v>297</v>
      </c>
      <c r="U1340" t="s">
        <v>300</v>
      </c>
      <c r="V1340" t="s">
        <v>301</v>
      </c>
      <c r="W1340" s="41"/>
      <c r="X1340" s="41"/>
      <c r="Y1340" s="34"/>
      <c r="Z1340" s="34"/>
      <c r="AA1340" s="35">
        <f>IF(TA[[#This Row],[Work Start time on Fault]]="NA","",(TA[[#This Row],[Fault Acknowledgement Time ]]-TA[[#This Row],[Fault Time]])*24)</f>
        <v>0</v>
      </c>
      <c r="AB1340" s="35">
        <f>(TA[[#This Row],[Work Start time on Fault]]-TA[[#This Row],[Fault Time]])*24</f>
        <v>0</v>
      </c>
      <c r="AC1340" s="34">
        <f>(TA[[#This Row],[Work Completion time on fault]]-TA[[#This Row],[Fault Time]])*24</f>
        <v>0</v>
      </c>
      <c r="AD1340" s="35">
        <f>IFERROR((TA[[#This Row],[Work Completion time on fault]]-TA[[#This Row],[Fault Time]])*24,"")</f>
        <v>0</v>
      </c>
      <c r="AE1340" t="s">
        <v>328</v>
      </c>
      <c r="AF1340" t="s">
        <v>256</v>
      </c>
      <c r="AG1340" s="2"/>
      <c r="AH1340" s="44">
        <f>1-COS(RADIANS(TA[[#This Row],[Avg. Target Angle during Fault Time (Radians)]]-TA[[#This Row],[Angle of affected equipment ]]))</f>
        <v>0.11705240714107301</v>
      </c>
      <c r="AI1340" s="35">
        <f>IFERROR(TA[[#This Row],[Breakdown Time]]*TA[[#This Row],[Plant Equivalent Weightage]],"")</f>
        <v>0</v>
      </c>
    </row>
    <row r="1341" spans="1:35">
      <c r="A1341" s="2">
        <f t="shared" si="151"/>
        <v>1338</v>
      </c>
      <c r="B1341" s="156">
        <f t="shared" si="154"/>
        <v>2026</v>
      </c>
      <c r="C1341" s="129">
        <f t="shared" si="155"/>
        <v>2025</v>
      </c>
      <c r="D1341" s="2" t="s">
        <v>155</v>
      </c>
      <c r="E1341" s="2" t="s">
        <v>155</v>
      </c>
      <c r="F1341" s="39">
        <v>45839</v>
      </c>
      <c r="G1341" s="2">
        <f>DAY(EOMONTH(TA[[#This Row],[Month Year]],0))</f>
        <v>31</v>
      </c>
      <c r="H1341" s="21">
        <v>45839</v>
      </c>
      <c r="I1341" s="41">
        <f>IFERROR(VLOOKUP(TA[[#This Row],[Date]],Raw_Data[[Date]:[Sunset Time (POA&lt;20 W/m2)]],3,0),"")</f>
        <v>0.25833333333333336</v>
      </c>
      <c r="J1341" s="41">
        <f>IFERROR(VLOOKUP(TA[[#This Row],[Date]],Raw_Data[[Date]:[Sunset Time (POA&lt;20 W/m2)]],4,0),"")</f>
        <v>0.77083333333333337</v>
      </c>
      <c r="K1341" s="35">
        <f>IFERROR((TA[[#This Row],[Sunset Time (POA&lt;20 W/m2)]]-TA[[#This Row],[Sunrise Time (POA&gt;20 W/m2)]])*24,"")</f>
        <v>12.299999999999999</v>
      </c>
      <c r="L1341" s="2" t="s">
        <v>312</v>
      </c>
      <c r="M1341" s="42">
        <f>IFERROR(VLOOKUP(TA[[#This Row],[Affected Equipment]],'Basic Data'!$I$2:$K$40,3,0),"")</f>
        <v>5.74712643678161E-3</v>
      </c>
      <c r="N1341">
        <v>-28</v>
      </c>
      <c r="O1341" t="s">
        <v>133</v>
      </c>
      <c r="P1341" s="22" t="s">
        <v>330</v>
      </c>
      <c r="Q1341" s="2" t="s">
        <v>323</v>
      </c>
      <c r="R1341">
        <v>26</v>
      </c>
      <c r="S1341" s="2">
        <v>37</v>
      </c>
      <c r="T1341" t="s">
        <v>297</v>
      </c>
      <c r="U1341" t="s">
        <v>300</v>
      </c>
      <c r="V1341" t="s">
        <v>301</v>
      </c>
      <c r="W1341" s="41"/>
      <c r="X1341" s="41"/>
      <c r="Y1341" s="34"/>
      <c r="Z1341" s="34"/>
      <c r="AA1341" s="35">
        <f>IF(TA[[#This Row],[Work Start time on Fault]]="NA","",(TA[[#This Row],[Fault Acknowledgement Time ]]-TA[[#This Row],[Fault Time]])*24)</f>
        <v>0</v>
      </c>
      <c r="AB1341" s="35">
        <f>(TA[[#This Row],[Work Start time on Fault]]-TA[[#This Row],[Fault Time]])*24</f>
        <v>0</v>
      </c>
      <c r="AC1341" s="34">
        <f>(TA[[#This Row],[Work Completion time on fault]]-TA[[#This Row],[Fault Time]])*24</f>
        <v>0</v>
      </c>
      <c r="AD1341" s="35">
        <f>IFERROR((TA[[#This Row],[Work Completion time on fault]]-TA[[#This Row],[Fault Time]])*24,"")</f>
        <v>0</v>
      </c>
      <c r="AE1341" t="s">
        <v>328</v>
      </c>
      <c r="AF1341" t="s">
        <v>256</v>
      </c>
      <c r="AG1341" s="2"/>
      <c r="AH1341" s="44">
        <f>1-COS(RADIANS(TA[[#This Row],[Avg. Target Angle during Fault Time (Radians)]]-TA[[#This Row],[Angle of affected equipment ]]))</f>
        <v>0.11705240714107301</v>
      </c>
      <c r="AI1341" s="35">
        <f>IFERROR(TA[[#This Row],[Breakdown Time]]*TA[[#This Row],[Plant Equivalent Weightage]],"")</f>
        <v>0</v>
      </c>
    </row>
    <row r="1342" spans="1:35">
      <c r="A1342" s="2">
        <f t="shared" si="151"/>
        <v>1339</v>
      </c>
      <c r="B1342" s="156">
        <f t="shared" si="154"/>
        <v>2026</v>
      </c>
      <c r="C1342" s="129">
        <f t="shared" si="155"/>
        <v>2025</v>
      </c>
      <c r="D1342" s="2" t="s">
        <v>155</v>
      </c>
      <c r="E1342" s="2" t="s">
        <v>155</v>
      </c>
      <c r="F1342" s="39">
        <v>45839</v>
      </c>
      <c r="G1342" s="2">
        <f>DAY(EOMONTH(TA[[#This Row],[Month Year]],0))</f>
        <v>31</v>
      </c>
      <c r="H1342" s="21">
        <v>45839</v>
      </c>
      <c r="I1342" s="41">
        <f>IFERROR(VLOOKUP(TA[[#This Row],[Date]],Raw_Data[[Date]:[Sunset Time (POA&lt;20 W/m2)]],3,0),"")</f>
        <v>0.25833333333333336</v>
      </c>
      <c r="J1342" s="41">
        <f>IFERROR(VLOOKUP(TA[[#This Row],[Date]],Raw_Data[[Date]:[Sunset Time (POA&lt;20 W/m2)]],4,0),"")</f>
        <v>0.77083333333333337</v>
      </c>
      <c r="K1342" s="35">
        <f>IFERROR((TA[[#This Row],[Sunset Time (POA&lt;20 W/m2)]]-TA[[#This Row],[Sunrise Time (POA&gt;20 W/m2)]])*24,"")</f>
        <v>12.299999999999999</v>
      </c>
      <c r="L1342" s="2" t="s">
        <v>312</v>
      </c>
      <c r="M1342" s="42">
        <f>IFERROR(VLOOKUP(TA[[#This Row],[Affected Equipment]],'Basic Data'!$I$2:$K$40,3,0),"")</f>
        <v>5.74712643678161E-3</v>
      </c>
      <c r="N1342">
        <v>-28</v>
      </c>
      <c r="O1342" t="s">
        <v>133</v>
      </c>
      <c r="P1342" s="22" t="s">
        <v>330</v>
      </c>
      <c r="Q1342" s="2" t="s">
        <v>323</v>
      </c>
      <c r="R1342">
        <v>27</v>
      </c>
      <c r="S1342" s="2">
        <v>42</v>
      </c>
      <c r="T1342" t="s">
        <v>297</v>
      </c>
      <c r="U1342" t="s">
        <v>300</v>
      </c>
      <c r="V1342" t="s">
        <v>301</v>
      </c>
      <c r="W1342" s="41">
        <f>IFERROR(VLOOKUP(TA[[#This Row],[Date]],Raw_Data[[Date]:[Sunset Time (POA&lt;20 W/m2)]],3,0),"")</f>
        <v>0.25833333333333336</v>
      </c>
      <c r="X1342" s="41">
        <f>IFERROR(VLOOKUP(TA[[#This Row],[Date]],Raw_Data[[Date]:[Sunset Time (POA&lt;20 W/m2)]],3,0),"")</f>
        <v>0.25833333333333336</v>
      </c>
      <c r="Y1342" s="34"/>
      <c r="Z1342" s="34">
        <v>0.76041666666666663</v>
      </c>
      <c r="AA1342" s="35">
        <f>IF(TA[[#This Row],[Work Start time on Fault]]="NA","",(TA[[#This Row],[Fault Acknowledgement Time ]]-TA[[#This Row],[Fault Time]])*24)</f>
        <v>0</v>
      </c>
      <c r="AB1342" s="35">
        <f>(TA[[#This Row],[Work Start time on Fault]]-TA[[#This Row],[Fault Time]])*24</f>
        <v>-6.2000000000000011</v>
      </c>
      <c r="AC1342" s="34">
        <f>(TA[[#This Row],[Work Completion time on fault]]-TA[[#This Row],[Fault Time]])*24</f>
        <v>12.049999999999997</v>
      </c>
      <c r="AD1342" s="35">
        <f>IFERROR((TA[[#This Row],[Work Completion time on fault]]-TA[[#This Row],[Fault Time]])*24,"")</f>
        <v>12.049999999999997</v>
      </c>
      <c r="AE1342" t="s">
        <v>309</v>
      </c>
      <c r="AF1342" t="s">
        <v>256</v>
      </c>
      <c r="AG1342" s="2"/>
      <c r="AH1342" s="44">
        <f>1-COS(RADIANS(TA[[#This Row],[Avg. Target Angle during Fault Time (Radians)]]-TA[[#This Row],[Angle of affected equipment ]]))</f>
        <v>0.11705240714107301</v>
      </c>
      <c r="AI1342" s="35">
        <f>IFERROR(TA[[#This Row],[Breakdown Time]]*TA[[#This Row],[Plant Equivalent Weightage]],"")</f>
        <v>6.9252873563218381E-2</v>
      </c>
    </row>
    <row r="1343" spans="1:35">
      <c r="A1343" s="2">
        <f t="shared" si="151"/>
        <v>1340</v>
      </c>
      <c r="B1343" s="156">
        <f t="shared" ref="B1343:B1355" si="156">YEAR(H1343)+IF(MONTH(H1343)&gt;=4,1,0)</f>
        <v>2026</v>
      </c>
      <c r="C1343" s="129">
        <f t="shared" ref="C1343:C1355" si="157">YEAR(H1343)</f>
        <v>2025</v>
      </c>
      <c r="D1343" s="2" t="s">
        <v>155</v>
      </c>
      <c r="E1343" s="2" t="s">
        <v>155</v>
      </c>
      <c r="F1343" s="39">
        <v>45839</v>
      </c>
      <c r="G1343" s="2">
        <f>DAY(EOMONTH(TA[[#This Row],[Month Year]],0))</f>
        <v>31</v>
      </c>
      <c r="H1343" s="21">
        <v>45840</v>
      </c>
      <c r="I1343" s="41">
        <f>IFERROR(VLOOKUP(TA[[#This Row],[Date]],Raw_Data[[Date]:[Sunset Time (POA&lt;20 W/m2)]],3,0),"")</f>
        <v>0.26319444444444445</v>
      </c>
      <c r="J1343" s="41">
        <f>IFERROR(VLOOKUP(TA[[#This Row],[Date]],Raw_Data[[Date]:[Sunset Time (POA&lt;20 W/m2)]],4,0),"")</f>
        <v>0.78333333333333333</v>
      </c>
      <c r="K1343" s="35">
        <f>IFERROR((TA[[#This Row],[Sunset Time (POA&lt;20 W/m2)]]-TA[[#This Row],[Sunrise Time (POA&gt;20 W/m2)]])*24,"")</f>
        <v>12.483333333333334</v>
      </c>
      <c r="L1343" s="2" t="s">
        <v>294</v>
      </c>
      <c r="M1343" s="42">
        <f>IFERROR(VLOOKUP(TA[[#This Row],[Affected Equipment]],'Basic Data'!$I$2:$K$40,3,0),"")</f>
        <v>1.7241379310344799E-3</v>
      </c>
      <c r="N1343">
        <v>-28</v>
      </c>
      <c r="O1343" t="s">
        <v>135</v>
      </c>
      <c r="P1343" s="127" t="s">
        <v>318</v>
      </c>
      <c r="Q1343" s="126" t="s">
        <v>318</v>
      </c>
      <c r="R1343">
        <v>131</v>
      </c>
      <c r="S1343" s="2">
        <v>38</v>
      </c>
      <c r="T1343" t="s">
        <v>295</v>
      </c>
      <c r="U1343" t="s">
        <v>300</v>
      </c>
      <c r="V1343" t="s">
        <v>298</v>
      </c>
      <c r="W1343" s="41">
        <f>IFERROR(VLOOKUP(TA[[#This Row],[Date]],Raw_Data[[Date]:[Sunset Time (POA&lt;20 W/m2)]],3,0),"")</f>
        <v>0.26319444444444445</v>
      </c>
      <c r="X1343" s="41">
        <f>IFERROR(VLOOKUP(TA[[#This Row],[Date]],Raw_Data[[Date]:[Sunset Time (POA&lt;20 W/m2)]],3,0),"")</f>
        <v>0.26319444444444445</v>
      </c>
      <c r="Y1343" s="34"/>
      <c r="Z1343" s="34"/>
      <c r="AA1343" s="35">
        <f>IF(TA[[#This Row],[Work Start time on Fault]]="NA","",(TA[[#This Row],[Fault Acknowledgement Time ]]-TA[[#This Row],[Fault Time]])*24)</f>
        <v>0</v>
      </c>
      <c r="AB1343" s="35">
        <f>(TA[[#This Row],[Work Start time on Fault]]-TA[[#This Row],[Fault Time]])*24</f>
        <v>-6.3166666666666664</v>
      </c>
      <c r="AC1343" s="34">
        <f>(TA[[#This Row],[Work Completion time on fault]]-TA[[#This Row],[Fault Time]])*24</f>
        <v>-6.3166666666666664</v>
      </c>
      <c r="AD1343" s="35">
        <f>IFERROR((TA[[#This Row],[Work Completion time on fault]]-TA[[#This Row],[Fault Time]])*24,"")</f>
        <v>-6.3166666666666664</v>
      </c>
      <c r="AE1343" t="s">
        <v>328</v>
      </c>
      <c r="AF1343" t="s">
        <v>256</v>
      </c>
      <c r="AG1343" s="2"/>
      <c r="AH1343" s="44">
        <f>1-COS(RADIANS(TA[[#This Row],[Avg. Target Angle during Fault Time (Radians)]]-TA[[#This Row],[Angle of affected equipment ]]))</f>
        <v>0.11705240714107301</v>
      </c>
      <c r="AI1343" s="35">
        <f>IFERROR(TA[[#This Row],[Breakdown Time]]*TA[[#This Row],[Plant Equivalent Weightage]],"")</f>
        <v>-1.089080459770113E-2</v>
      </c>
    </row>
    <row r="1344" spans="1:35">
      <c r="A1344" s="2">
        <f t="shared" si="151"/>
        <v>1341</v>
      </c>
      <c r="B1344" s="156">
        <f t="shared" si="156"/>
        <v>2026</v>
      </c>
      <c r="C1344" s="129">
        <f t="shared" si="157"/>
        <v>2025</v>
      </c>
      <c r="D1344" s="2" t="s">
        <v>155</v>
      </c>
      <c r="E1344" s="2" t="s">
        <v>155</v>
      </c>
      <c r="F1344" s="39">
        <v>45839</v>
      </c>
      <c r="G1344" s="2">
        <f>DAY(EOMONTH(TA[[#This Row],[Month Year]],0))</f>
        <v>31</v>
      </c>
      <c r="H1344" s="21">
        <v>45840</v>
      </c>
      <c r="I1344" s="41">
        <f>IFERROR(VLOOKUP(TA[[#This Row],[Date]],Raw_Data[[Date]:[Sunset Time (POA&lt;20 W/m2)]],3,0),"")</f>
        <v>0.26319444444444445</v>
      </c>
      <c r="J1344" s="41">
        <f>IFERROR(VLOOKUP(TA[[#This Row],[Date]],Raw_Data[[Date]:[Sunset Time (POA&lt;20 W/m2)]],4,0),"")</f>
        <v>0.78333333333333333</v>
      </c>
      <c r="K1344" s="35">
        <f>IFERROR((TA[[#This Row],[Sunset Time (POA&lt;20 W/m2)]]-TA[[#This Row],[Sunrise Time (POA&gt;20 W/m2)]])*24,"")</f>
        <v>12.483333333333334</v>
      </c>
      <c r="L1344" s="2" t="s">
        <v>294</v>
      </c>
      <c r="M1344" s="42">
        <f>IFERROR(VLOOKUP(TA[[#This Row],[Affected Equipment]],'Basic Data'!$I$2:$K$40,3,0),"")</f>
        <v>1.7241379310344799E-3</v>
      </c>
      <c r="N1344">
        <v>-28</v>
      </c>
      <c r="O1344" t="s">
        <v>135</v>
      </c>
      <c r="P1344" s="127" t="s">
        <v>318</v>
      </c>
      <c r="Q1344" s="126" t="s">
        <v>318</v>
      </c>
      <c r="R1344">
        <v>131</v>
      </c>
      <c r="S1344" s="2">
        <v>39</v>
      </c>
      <c r="T1344" t="s">
        <v>295</v>
      </c>
      <c r="U1344" t="s">
        <v>300</v>
      </c>
      <c r="V1344" t="s">
        <v>298</v>
      </c>
      <c r="W1344" s="41">
        <f>IFERROR(VLOOKUP(TA[[#This Row],[Date]],Raw_Data[[Date]:[Sunset Time (POA&lt;20 W/m2)]],3,0),"")</f>
        <v>0.26319444444444445</v>
      </c>
      <c r="X1344" s="41">
        <f>IFERROR(VLOOKUP(TA[[#This Row],[Date]],Raw_Data[[Date]:[Sunset Time (POA&lt;20 W/m2)]],3,0),"")</f>
        <v>0.26319444444444445</v>
      </c>
      <c r="Y1344" s="34"/>
      <c r="Z1344" s="34"/>
      <c r="AA1344" s="35">
        <f>IF(TA[[#This Row],[Work Start time on Fault]]="NA","",(TA[[#This Row],[Fault Acknowledgement Time ]]-TA[[#This Row],[Fault Time]])*24)</f>
        <v>0</v>
      </c>
      <c r="AB1344" s="35">
        <f>(TA[[#This Row],[Work Start time on Fault]]-TA[[#This Row],[Fault Time]])*24</f>
        <v>-6.3166666666666664</v>
      </c>
      <c r="AC1344" s="34">
        <f>(TA[[#This Row],[Work Completion time on fault]]-TA[[#This Row],[Fault Time]])*24</f>
        <v>-6.3166666666666664</v>
      </c>
      <c r="AD1344" s="35">
        <f>IFERROR((TA[[#This Row],[Work Completion time on fault]]-TA[[#This Row],[Fault Time]])*24,"")</f>
        <v>-6.3166666666666664</v>
      </c>
      <c r="AE1344" t="s">
        <v>328</v>
      </c>
      <c r="AF1344" t="s">
        <v>256</v>
      </c>
      <c r="AG1344" s="2"/>
      <c r="AH1344" s="44">
        <f>1-COS(RADIANS(TA[[#This Row],[Avg. Target Angle during Fault Time (Radians)]]-TA[[#This Row],[Angle of affected equipment ]]))</f>
        <v>0.11705240714107301</v>
      </c>
      <c r="AI1344" s="35">
        <f>IFERROR(TA[[#This Row],[Breakdown Time]]*TA[[#This Row],[Plant Equivalent Weightage]],"")</f>
        <v>-1.089080459770113E-2</v>
      </c>
    </row>
    <row r="1345" spans="1:35">
      <c r="A1345" s="2">
        <f t="shared" si="151"/>
        <v>1342</v>
      </c>
      <c r="B1345" s="156">
        <f t="shared" si="156"/>
        <v>2026</v>
      </c>
      <c r="C1345" s="129">
        <f t="shared" si="157"/>
        <v>2025</v>
      </c>
      <c r="D1345" s="2" t="s">
        <v>155</v>
      </c>
      <c r="E1345" s="2" t="s">
        <v>155</v>
      </c>
      <c r="F1345" s="39">
        <v>45839</v>
      </c>
      <c r="G1345" s="2">
        <f>DAY(EOMONTH(TA[[#This Row],[Month Year]],0))</f>
        <v>31</v>
      </c>
      <c r="H1345" s="21">
        <v>45840</v>
      </c>
      <c r="I1345" s="41">
        <f>IFERROR(VLOOKUP(TA[[#This Row],[Date]],Raw_Data[[Date]:[Sunset Time (POA&lt;20 W/m2)]],3,0),"")</f>
        <v>0.26319444444444445</v>
      </c>
      <c r="J1345" s="41">
        <f>IFERROR(VLOOKUP(TA[[#This Row],[Date]],Raw_Data[[Date]:[Sunset Time (POA&lt;20 W/m2)]],4,0),"")</f>
        <v>0.78333333333333333</v>
      </c>
      <c r="K1345" s="35">
        <f>IFERROR((TA[[#This Row],[Sunset Time (POA&lt;20 W/m2)]]-TA[[#This Row],[Sunrise Time (POA&gt;20 W/m2)]])*24,"")</f>
        <v>12.483333333333334</v>
      </c>
      <c r="L1345" s="2" t="s">
        <v>296</v>
      </c>
      <c r="M1345" s="42">
        <f>IFERROR(VLOOKUP(TA[[#This Row],[Affected Equipment]],'Basic Data'!$I$2:$K$40,3,0),"")</f>
        <v>8.6206896551724102E-3</v>
      </c>
      <c r="N1345">
        <v>-28</v>
      </c>
      <c r="O1345" t="s">
        <v>135</v>
      </c>
      <c r="P1345" s="127" t="s">
        <v>318</v>
      </c>
      <c r="Q1345" s="2" t="s">
        <v>321</v>
      </c>
      <c r="R1345">
        <v>133</v>
      </c>
      <c r="S1345" s="2">
        <v>26</v>
      </c>
      <c r="T1345" t="s">
        <v>297</v>
      </c>
      <c r="U1345" t="s">
        <v>300</v>
      </c>
      <c r="V1345" t="s">
        <v>314</v>
      </c>
      <c r="W1345" s="41">
        <f>IFERROR(VLOOKUP(TA[[#This Row],[Date]],Raw_Data[[Date]:[Sunset Time (POA&lt;20 W/m2)]],3,0),"")</f>
        <v>0.26319444444444445</v>
      </c>
      <c r="X1345" s="41">
        <f>IFERROR(VLOOKUP(TA[[#This Row],[Date]],Raw_Data[[Date]:[Sunset Time (POA&lt;20 W/m2)]],3,0),"")</f>
        <v>0.26319444444444445</v>
      </c>
      <c r="Y1345" s="34"/>
      <c r="Z1345" s="34">
        <v>0.76041666666666663</v>
      </c>
      <c r="AA1345" s="35">
        <f>IF(TA[[#This Row],[Work Start time on Fault]]="NA","",(TA[[#This Row],[Fault Acknowledgement Time ]]-TA[[#This Row],[Fault Time]])*24)</f>
        <v>0</v>
      </c>
      <c r="AB1345" s="35">
        <f>(TA[[#This Row],[Work Start time on Fault]]-TA[[#This Row],[Fault Time]])*24</f>
        <v>-6.3166666666666664</v>
      </c>
      <c r="AC1345" s="34">
        <f>(TA[[#This Row],[Work Completion time on fault]]-TA[[#This Row],[Fault Time]])*24</f>
        <v>11.933333333333332</v>
      </c>
      <c r="AD1345" s="35">
        <f>IFERROR((TA[[#This Row],[Work Completion time on fault]]-TA[[#This Row],[Fault Time]])*24,"")</f>
        <v>11.933333333333332</v>
      </c>
      <c r="AE1345" t="s">
        <v>328</v>
      </c>
      <c r="AF1345" t="s">
        <v>256</v>
      </c>
      <c r="AG1345" s="2"/>
      <c r="AH1345" s="44">
        <f>1-COS(RADIANS(TA[[#This Row],[Avg. Target Angle during Fault Time (Radians)]]-TA[[#This Row],[Angle of affected equipment ]]))</f>
        <v>0.11705240714107301</v>
      </c>
      <c r="AI1345" s="35">
        <f>IFERROR(TA[[#This Row],[Breakdown Time]]*TA[[#This Row],[Plant Equivalent Weightage]],"")</f>
        <v>0.10287356321839075</v>
      </c>
    </row>
    <row r="1346" spans="1:35">
      <c r="A1346" s="2">
        <f t="shared" si="151"/>
        <v>1343</v>
      </c>
      <c r="B1346" s="156">
        <f t="shared" si="156"/>
        <v>2026</v>
      </c>
      <c r="C1346" s="129">
        <f t="shared" si="157"/>
        <v>2025</v>
      </c>
      <c r="D1346" s="2" t="s">
        <v>155</v>
      </c>
      <c r="E1346" s="2" t="s">
        <v>155</v>
      </c>
      <c r="F1346" s="39">
        <v>45839</v>
      </c>
      <c r="G1346" s="2">
        <f>DAY(EOMONTH(TA[[#This Row],[Month Year]],0))</f>
        <v>31</v>
      </c>
      <c r="H1346" s="21">
        <v>45840</v>
      </c>
      <c r="I1346" s="41">
        <f>IFERROR(VLOOKUP(TA[[#This Row],[Date]],Raw_Data[[Date]:[Sunset Time (POA&lt;20 W/m2)]],3,0),"")</f>
        <v>0.26319444444444445</v>
      </c>
      <c r="J1346" s="41">
        <f>IFERROR(VLOOKUP(TA[[#This Row],[Date]],Raw_Data[[Date]:[Sunset Time (POA&lt;20 W/m2)]],4,0),"")</f>
        <v>0.78333333333333333</v>
      </c>
      <c r="K1346" s="35">
        <f>IFERROR((TA[[#This Row],[Sunset Time (POA&lt;20 W/m2)]]-TA[[#This Row],[Sunrise Time (POA&gt;20 W/m2)]])*24,"")</f>
        <v>12.483333333333334</v>
      </c>
      <c r="L1346" s="2" t="s">
        <v>294</v>
      </c>
      <c r="M1346" s="42">
        <f>IFERROR(VLOOKUP(TA[[#This Row],[Affected Equipment]],'Basic Data'!$I$2:$K$40,3,0),"")</f>
        <v>1.7241379310344799E-3</v>
      </c>
      <c r="N1346">
        <v>-28</v>
      </c>
      <c r="O1346" t="s">
        <v>133</v>
      </c>
      <c r="P1346" s="127" t="s">
        <v>316</v>
      </c>
      <c r="Q1346" s="126" t="s">
        <v>317</v>
      </c>
      <c r="R1346">
        <v>7</v>
      </c>
      <c r="S1346" s="2">
        <v>32</v>
      </c>
      <c r="T1346" t="s">
        <v>295</v>
      </c>
      <c r="U1346" t="s">
        <v>300</v>
      </c>
      <c r="V1346" t="s">
        <v>298</v>
      </c>
      <c r="W1346" s="41">
        <f>IFERROR(VLOOKUP(TA[[#This Row],[Date]],Raw_Data[[Date]:[Sunset Time (POA&lt;20 W/m2)]],3,0),"")</f>
        <v>0.26319444444444445</v>
      </c>
      <c r="X1346" s="41">
        <f>IFERROR(VLOOKUP(TA[[#This Row],[Date]],Raw_Data[[Date]:[Sunset Time (POA&lt;20 W/m2)]],3,0),"")</f>
        <v>0.26319444444444445</v>
      </c>
      <c r="Y1346" s="34"/>
      <c r="Z1346" s="34"/>
      <c r="AA1346" s="35">
        <f>IF(TA[[#This Row],[Work Start time on Fault]]="NA","",(TA[[#This Row],[Fault Acknowledgement Time ]]-TA[[#This Row],[Fault Time]])*24)</f>
        <v>0</v>
      </c>
      <c r="AB1346" s="35">
        <f>(TA[[#This Row],[Work Start time on Fault]]-TA[[#This Row],[Fault Time]])*24</f>
        <v>-6.3166666666666664</v>
      </c>
      <c r="AC1346" s="34">
        <f>(TA[[#This Row],[Work Completion time on fault]]-TA[[#This Row],[Fault Time]])*24</f>
        <v>-6.3166666666666664</v>
      </c>
      <c r="AD1346" s="35">
        <f>IFERROR((TA[[#This Row],[Work Completion time on fault]]-TA[[#This Row],[Fault Time]])*24,"")</f>
        <v>-6.3166666666666664</v>
      </c>
      <c r="AE1346" t="s">
        <v>328</v>
      </c>
      <c r="AF1346" t="s">
        <v>256</v>
      </c>
      <c r="AG1346" s="2"/>
      <c r="AH1346" s="44">
        <f>1-COS(RADIANS(TA[[#This Row],[Avg. Target Angle during Fault Time (Radians)]]-TA[[#This Row],[Angle of affected equipment ]]))</f>
        <v>0.11705240714107301</v>
      </c>
      <c r="AI1346" s="35">
        <f>IFERROR(TA[[#This Row],[Breakdown Time]]*TA[[#This Row],[Plant Equivalent Weightage]],"")</f>
        <v>-1.089080459770113E-2</v>
      </c>
    </row>
    <row r="1347" spans="1:35">
      <c r="A1347" s="2">
        <f t="shared" si="151"/>
        <v>1344</v>
      </c>
      <c r="B1347" s="156">
        <f t="shared" si="156"/>
        <v>2026</v>
      </c>
      <c r="C1347" s="129">
        <f t="shared" si="157"/>
        <v>2025</v>
      </c>
      <c r="D1347" s="2" t="s">
        <v>155</v>
      </c>
      <c r="E1347" s="2" t="s">
        <v>155</v>
      </c>
      <c r="F1347" s="39">
        <v>45839</v>
      </c>
      <c r="G1347" s="2">
        <f>DAY(EOMONTH(TA[[#This Row],[Month Year]],0))</f>
        <v>31</v>
      </c>
      <c r="H1347" s="21">
        <v>45840</v>
      </c>
      <c r="I1347" s="41">
        <f>IFERROR(VLOOKUP(TA[[#This Row],[Date]],Raw_Data[[Date]:[Sunset Time (POA&lt;20 W/m2)]],3,0),"")</f>
        <v>0.26319444444444445</v>
      </c>
      <c r="J1347" s="41">
        <f>IFERROR(VLOOKUP(TA[[#This Row],[Date]],Raw_Data[[Date]:[Sunset Time (POA&lt;20 W/m2)]],4,0),"")</f>
        <v>0.78333333333333333</v>
      </c>
      <c r="K1347" s="35">
        <f>IFERROR((TA[[#This Row],[Sunset Time (POA&lt;20 W/m2)]]-TA[[#This Row],[Sunrise Time (POA&gt;20 W/m2)]])*24,"")</f>
        <v>12.483333333333334</v>
      </c>
      <c r="L1347" s="2" t="s">
        <v>294</v>
      </c>
      <c r="M1347" s="42">
        <f>IFERROR(VLOOKUP(TA[[#This Row],[Affected Equipment]],'Basic Data'!$I$2:$K$40,3,0),"")</f>
        <v>1.7241379310344799E-3</v>
      </c>
      <c r="N1347">
        <v>-28</v>
      </c>
      <c r="O1347" t="s">
        <v>137</v>
      </c>
      <c r="P1347" s="127" t="s">
        <v>315</v>
      </c>
      <c r="Q1347" s="126" t="s">
        <v>319</v>
      </c>
      <c r="R1347">
        <v>166</v>
      </c>
      <c r="S1347" s="2">
        <v>91</v>
      </c>
      <c r="T1347" t="s">
        <v>295</v>
      </c>
      <c r="U1347" t="s">
        <v>300</v>
      </c>
      <c r="V1347" t="s">
        <v>298</v>
      </c>
      <c r="W1347" s="41">
        <f>IFERROR(VLOOKUP(TA[[#This Row],[Date]],Raw_Data[[Date]:[Sunset Time (POA&lt;20 W/m2)]],3,0),"")</f>
        <v>0.26319444444444445</v>
      </c>
      <c r="X1347" s="41">
        <f>IFERROR(VLOOKUP(TA[[#This Row],[Date]],Raw_Data[[Date]:[Sunset Time (POA&lt;20 W/m2)]],3,0),"")</f>
        <v>0.26319444444444445</v>
      </c>
      <c r="Y1347" s="34"/>
      <c r="Z1347" s="34"/>
      <c r="AA1347" s="35">
        <f>IF(TA[[#This Row],[Work Start time on Fault]]="NA","",(TA[[#This Row],[Fault Acknowledgement Time ]]-TA[[#This Row],[Fault Time]])*24)</f>
        <v>0</v>
      </c>
      <c r="AB1347" s="35">
        <f>(TA[[#This Row],[Work Start time on Fault]]-TA[[#This Row],[Fault Time]])*24</f>
        <v>-6.3166666666666664</v>
      </c>
      <c r="AC1347" s="34">
        <f>(TA[[#This Row],[Work Completion time on fault]]-TA[[#This Row],[Fault Time]])*24</f>
        <v>-6.3166666666666664</v>
      </c>
      <c r="AD1347" s="35">
        <f>IFERROR((TA[[#This Row],[Work Completion time on fault]]-TA[[#This Row],[Fault Time]])*24,"")</f>
        <v>-6.3166666666666664</v>
      </c>
      <c r="AE1347" t="s">
        <v>328</v>
      </c>
      <c r="AF1347" t="s">
        <v>256</v>
      </c>
      <c r="AG1347" s="2"/>
      <c r="AH1347" s="44">
        <f>1-COS(RADIANS(TA[[#This Row],[Avg. Target Angle during Fault Time (Radians)]]-TA[[#This Row],[Angle of affected equipment ]]))</f>
        <v>0.11705240714107301</v>
      </c>
      <c r="AI1347" s="35">
        <f>IFERROR(TA[[#This Row],[Breakdown Time]]*TA[[#This Row],[Plant Equivalent Weightage]],"")</f>
        <v>-1.089080459770113E-2</v>
      </c>
    </row>
    <row r="1348" spans="1:35">
      <c r="A1348" s="2">
        <f t="shared" si="151"/>
        <v>1345</v>
      </c>
      <c r="B1348" s="156">
        <f t="shared" si="156"/>
        <v>2026</v>
      </c>
      <c r="C1348" s="129">
        <f t="shared" si="157"/>
        <v>2025</v>
      </c>
      <c r="D1348" s="2" t="s">
        <v>155</v>
      </c>
      <c r="E1348" s="2" t="s">
        <v>155</v>
      </c>
      <c r="F1348" s="39">
        <v>45839</v>
      </c>
      <c r="G1348" s="2">
        <f>DAY(EOMONTH(TA[[#This Row],[Month Year]],0))</f>
        <v>31</v>
      </c>
      <c r="H1348" s="21">
        <v>45840</v>
      </c>
      <c r="I1348" s="41">
        <f>IFERROR(VLOOKUP(TA[[#This Row],[Date]],Raw_Data[[Date]:[Sunset Time (POA&lt;20 W/m2)]],3,0),"")</f>
        <v>0.26319444444444445</v>
      </c>
      <c r="J1348" s="41">
        <f>IFERROR(VLOOKUP(TA[[#This Row],[Date]],Raw_Data[[Date]:[Sunset Time (POA&lt;20 W/m2)]],4,0),"")</f>
        <v>0.78333333333333333</v>
      </c>
      <c r="K1348" s="35">
        <f>IFERROR((TA[[#This Row],[Sunset Time (POA&lt;20 W/m2)]]-TA[[#This Row],[Sunrise Time (POA&gt;20 W/m2)]])*24,"")</f>
        <v>12.483333333333334</v>
      </c>
      <c r="L1348" s="2" t="s">
        <v>294</v>
      </c>
      <c r="M1348" s="42">
        <f>IFERROR(VLOOKUP(TA[[#This Row],[Affected Equipment]],'Basic Data'!$I$2:$K$40,3,0),"")</f>
        <v>1.7241379310344799E-3</v>
      </c>
      <c r="N1348">
        <v>-28</v>
      </c>
      <c r="O1348" t="s">
        <v>133</v>
      </c>
      <c r="P1348" s="127" t="s">
        <v>316</v>
      </c>
      <c r="Q1348" s="126" t="s">
        <v>316</v>
      </c>
      <c r="R1348">
        <v>117</v>
      </c>
      <c r="S1348" s="2">
        <v>20</v>
      </c>
      <c r="T1348" t="s">
        <v>295</v>
      </c>
      <c r="U1348" t="s">
        <v>300</v>
      </c>
      <c r="V1348" t="s">
        <v>298</v>
      </c>
      <c r="W1348" s="41">
        <f>IFERROR(VLOOKUP(TA[[#This Row],[Date]],Raw_Data[[Date]:[Sunset Time (POA&lt;20 W/m2)]],3,0),"")</f>
        <v>0.26319444444444445</v>
      </c>
      <c r="X1348" s="41">
        <f>IFERROR(VLOOKUP(TA[[#This Row],[Date]],Raw_Data[[Date]:[Sunset Time (POA&lt;20 W/m2)]],3,0),"")</f>
        <v>0.26319444444444445</v>
      </c>
      <c r="Y1348" s="34"/>
      <c r="Z1348" s="34"/>
      <c r="AA1348" s="35">
        <f>IF(TA[[#This Row],[Work Start time on Fault]]="NA","",(TA[[#This Row],[Fault Acknowledgement Time ]]-TA[[#This Row],[Fault Time]])*24)</f>
        <v>0</v>
      </c>
      <c r="AB1348" s="35">
        <f>(TA[[#This Row],[Work Start time on Fault]]-TA[[#This Row],[Fault Time]])*24</f>
        <v>-6.3166666666666664</v>
      </c>
      <c r="AC1348" s="34">
        <f>(TA[[#This Row],[Work Completion time on fault]]-TA[[#This Row],[Fault Time]])*24</f>
        <v>-6.3166666666666664</v>
      </c>
      <c r="AD1348" s="35">
        <f>IFERROR((TA[[#This Row],[Work Completion time on fault]]-TA[[#This Row],[Fault Time]])*24,"")</f>
        <v>-6.3166666666666664</v>
      </c>
      <c r="AE1348" t="s">
        <v>328</v>
      </c>
      <c r="AF1348" t="s">
        <v>256</v>
      </c>
      <c r="AG1348" s="2"/>
      <c r="AH1348" s="44">
        <f>1-COS(RADIANS(TA[[#This Row],[Avg. Target Angle during Fault Time (Radians)]]-TA[[#This Row],[Angle of affected equipment ]]))</f>
        <v>0.11705240714107301</v>
      </c>
      <c r="AI1348" s="35">
        <f>IFERROR(TA[[#This Row],[Breakdown Time]]*TA[[#This Row],[Plant Equivalent Weightage]],"")</f>
        <v>-1.089080459770113E-2</v>
      </c>
    </row>
    <row r="1349" spans="1:35">
      <c r="A1349" s="2">
        <f t="shared" si="151"/>
        <v>1346</v>
      </c>
      <c r="B1349" s="156">
        <f t="shared" si="156"/>
        <v>2026</v>
      </c>
      <c r="C1349" s="129">
        <f t="shared" si="157"/>
        <v>2025</v>
      </c>
      <c r="D1349" s="2" t="s">
        <v>155</v>
      </c>
      <c r="E1349" s="2" t="s">
        <v>155</v>
      </c>
      <c r="F1349" s="39">
        <v>45839</v>
      </c>
      <c r="G1349" s="2">
        <f>DAY(EOMONTH(TA[[#This Row],[Month Year]],0))</f>
        <v>31</v>
      </c>
      <c r="H1349" s="21">
        <v>45840</v>
      </c>
      <c r="I1349" s="41">
        <f>IFERROR(VLOOKUP(TA[[#This Row],[Date]],Raw_Data[[Date]:[Sunset Time (POA&lt;20 W/m2)]],3,0),"")</f>
        <v>0.26319444444444445</v>
      </c>
      <c r="J1349" s="41">
        <f>IFERROR(VLOOKUP(TA[[#This Row],[Date]],Raw_Data[[Date]:[Sunset Time (POA&lt;20 W/m2)]],4,0),"")</f>
        <v>0.78333333333333333</v>
      </c>
      <c r="K1349" s="35">
        <f>IFERROR((TA[[#This Row],[Sunset Time (POA&lt;20 W/m2)]]-TA[[#This Row],[Sunrise Time (POA&gt;20 W/m2)]])*24,"")</f>
        <v>12.483333333333334</v>
      </c>
      <c r="L1349" s="2" t="s">
        <v>294</v>
      </c>
      <c r="M1349" s="42">
        <f>IFERROR(VLOOKUP(TA[[#This Row],[Affected Equipment]],'Basic Data'!$I$2:$K$40,3,0),"")</f>
        <v>1.7241379310344799E-3</v>
      </c>
      <c r="N1349">
        <v>-28</v>
      </c>
      <c r="O1349" t="s">
        <v>133</v>
      </c>
      <c r="P1349" s="127" t="s">
        <v>316</v>
      </c>
      <c r="Q1349" s="126" t="s">
        <v>316</v>
      </c>
      <c r="R1349">
        <v>118</v>
      </c>
      <c r="S1349" s="2">
        <v>22</v>
      </c>
      <c r="T1349" t="s">
        <v>295</v>
      </c>
      <c r="U1349" t="s">
        <v>300</v>
      </c>
      <c r="V1349" t="s">
        <v>298</v>
      </c>
      <c r="W1349" s="41">
        <f>IFERROR(VLOOKUP(TA[[#This Row],[Date]],Raw_Data[[Date]:[Sunset Time (POA&lt;20 W/m2)]],3,0),"")</f>
        <v>0.26319444444444445</v>
      </c>
      <c r="X1349" s="41">
        <f>IFERROR(VLOOKUP(TA[[#This Row],[Date]],Raw_Data[[Date]:[Sunset Time (POA&lt;20 W/m2)]],3,0),"")</f>
        <v>0.26319444444444445</v>
      </c>
      <c r="Y1349" s="34"/>
      <c r="Z1349" s="34"/>
      <c r="AA1349" s="35">
        <f>IF(TA[[#This Row],[Work Start time on Fault]]="NA","",(TA[[#This Row],[Fault Acknowledgement Time ]]-TA[[#This Row],[Fault Time]])*24)</f>
        <v>0</v>
      </c>
      <c r="AB1349" s="35">
        <f>(TA[[#This Row],[Work Start time on Fault]]-TA[[#This Row],[Fault Time]])*24</f>
        <v>-6.3166666666666664</v>
      </c>
      <c r="AC1349" s="34">
        <f>(TA[[#This Row],[Work Completion time on fault]]-TA[[#This Row],[Fault Time]])*24</f>
        <v>-6.3166666666666664</v>
      </c>
      <c r="AD1349" s="35">
        <f>IFERROR((TA[[#This Row],[Work Completion time on fault]]-TA[[#This Row],[Fault Time]])*24,"")</f>
        <v>-6.3166666666666664</v>
      </c>
      <c r="AE1349" t="s">
        <v>328</v>
      </c>
      <c r="AF1349" t="s">
        <v>256</v>
      </c>
      <c r="AG1349" s="2"/>
      <c r="AH1349" s="44">
        <f>1-COS(RADIANS(TA[[#This Row],[Avg. Target Angle during Fault Time (Radians)]]-TA[[#This Row],[Angle of affected equipment ]]))</f>
        <v>0.11705240714107301</v>
      </c>
      <c r="AI1349" s="35">
        <f>IFERROR(TA[[#This Row],[Breakdown Time]]*TA[[#This Row],[Plant Equivalent Weightage]],"")</f>
        <v>-1.089080459770113E-2</v>
      </c>
    </row>
    <row r="1350" spans="1:35">
      <c r="A1350" s="2">
        <f t="shared" si="151"/>
        <v>1347</v>
      </c>
      <c r="B1350" s="156">
        <f t="shared" si="156"/>
        <v>2026</v>
      </c>
      <c r="C1350" s="129">
        <f t="shared" si="157"/>
        <v>2025</v>
      </c>
      <c r="D1350" s="2" t="s">
        <v>155</v>
      </c>
      <c r="E1350" s="2" t="s">
        <v>155</v>
      </c>
      <c r="F1350" s="39">
        <v>45839</v>
      </c>
      <c r="G1350" s="2">
        <f>DAY(EOMONTH(TA[[#This Row],[Month Year]],0))</f>
        <v>31</v>
      </c>
      <c r="H1350" s="21">
        <v>45840</v>
      </c>
      <c r="I1350" s="41">
        <f>IFERROR(VLOOKUP(TA[[#This Row],[Date]],Raw_Data[[Date]:[Sunset Time (POA&lt;20 W/m2)]],3,0),"")</f>
        <v>0.26319444444444445</v>
      </c>
      <c r="J1350" s="41">
        <f>IFERROR(VLOOKUP(TA[[#This Row],[Date]],Raw_Data[[Date]:[Sunset Time (POA&lt;20 W/m2)]],4,0),"")</f>
        <v>0.78333333333333333</v>
      </c>
      <c r="K1350" s="35">
        <f>IFERROR((TA[[#This Row],[Sunset Time (POA&lt;20 W/m2)]]-TA[[#This Row],[Sunrise Time (POA&gt;20 W/m2)]])*24,"")</f>
        <v>12.483333333333334</v>
      </c>
      <c r="L1350" s="2" t="s">
        <v>296</v>
      </c>
      <c r="M1350" s="42">
        <f>IFERROR(VLOOKUP(TA[[#This Row],[Affected Equipment]],'Basic Data'!$I$2:$K$40,3,0),"")</f>
        <v>8.6206896551724102E-3</v>
      </c>
      <c r="N1350">
        <v>-28</v>
      </c>
      <c r="O1350" t="s">
        <v>135</v>
      </c>
      <c r="P1350" s="22" t="s">
        <v>323</v>
      </c>
      <c r="Q1350" s="2" t="s">
        <v>329</v>
      </c>
      <c r="R1350">
        <v>45</v>
      </c>
      <c r="S1350" s="2">
        <v>8</v>
      </c>
      <c r="T1350" t="s">
        <v>297</v>
      </c>
      <c r="U1350" t="s">
        <v>300</v>
      </c>
      <c r="V1350" t="s">
        <v>301</v>
      </c>
      <c r="W1350" s="41">
        <f>IFERROR(VLOOKUP(TA[[#This Row],[Date]],Raw_Data[[Date]:[Sunset Time (POA&lt;20 W/m2)]],3,0),"")</f>
        <v>0.26319444444444445</v>
      </c>
      <c r="X1350" s="41">
        <f>IFERROR(VLOOKUP(TA[[#This Row],[Date]],Raw_Data[[Date]:[Sunset Time (POA&lt;20 W/m2)]],3,0),"")</f>
        <v>0.26319444444444445</v>
      </c>
      <c r="Y1350" s="34"/>
      <c r="Z1350" s="34"/>
      <c r="AA1350" s="35">
        <f>IF(TA[[#This Row],[Work Start time on Fault]]="NA","",(TA[[#This Row],[Fault Acknowledgement Time ]]-TA[[#This Row],[Fault Time]])*24)</f>
        <v>0</v>
      </c>
      <c r="AB1350" s="35">
        <f>(TA[[#This Row],[Work Start time on Fault]]-TA[[#This Row],[Fault Time]])*24</f>
        <v>-6.3166666666666664</v>
      </c>
      <c r="AC1350" s="34">
        <f>(TA[[#This Row],[Work Completion time on fault]]-TA[[#This Row],[Fault Time]])*24</f>
        <v>-6.3166666666666664</v>
      </c>
      <c r="AD1350" s="35">
        <f>IFERROR((TA[[#This Row],[Work Completion time on fault]]-TA[[#This Row],[Fault Time]])*24,"")</f>
        <v>-6.3166666666666664</v>
      </c>
      <c r="AE1350" t="s">
        <v>328</v>
      </c>
      <c r="AF1350" t="s">
        <v>256</v>
      </c>
      <c r="AG1350" s="2"/>
      <c r="AH1350" s="44">
        <f>1-COS(RADIANS(TA[[#This Row],[Avg. Target Angle during Fault Time (Radians)]]-TA[[#This Row],[Angle of affected equipment ]]))</f>
        <v>0.11705240714107301</v>
      </c>
      <c r="AI1350" s="35">
        <f>IFERROR(TA[[#This Row],[Breakdown Time]]*TA[[#This Row],[Plant Equivalent Weightage]],"")</f>
        <v>-5.4454022988505719E-2</v>
      </c>
    </row>
    <row r="1351" spans="1:35">
      <c r="A1351" s="2">
        <f t="shared" si="151"/>
        <v>1348</v>
      </c>
      <c r="B1351" s="156">
        <f t="shared" si="156"/>
        <v>2026</v>
      </c>
      <c r="C1351" s="129">
        <f t="shared" si="157"/>
        <v>2025</v>
      </c>
      <c r="D1351" s="2" t="s">
        <v>155</v>
      </c>
      <c r="E1351" s="2" t="s">
        <v>155</v>
      </c>
      <c r="F1351" s="39">
        <v>45839</v>
      </c>
      <c r="G1351" s="2">
        <f>DAY(EOMONTH(TA[[#This Row],[Month Year]],0))</f>
        <v>31</v>
      </c>
      <c r="H1351" s="21">
        <v>45840</v>
      </c>
      <c r="I1351" s="41">
        <f>IFERROR(VLOOKUP(TA[[#This Row],[Date]],Raw_Data[[Date]:[Sunset Time (POA&lt;20 W/m2)]],3,0),"")</f>
        <v>0.26319444444444445</v>
      </c>
      <c r="J1351" s="41">
        <f>IFERROR(VLOOKUP(TA[[#This Row],[Date]],Raw_Data[[Date]:[Sunset Time (POA&lt;20 W/m2)]],4,0),"")</f>
        <v>0.78333333333333333</v>
      </c>
      <c r="K1351" s="35">
        <f>IFERROR((TA[[#This Row],[Sunset Time (POA&lt;20 W/m2)]]-TA[[#This Row],[Sunrise Time (POA&gt;20 W/m2)]])*24,"")</f>
        <v>12.483333333333334</v>
      </c>
      <c r="L1351" s="2" t="s">
        <v>296</v>
      </c>
      <c r="M1351" s="42">
        <f>IFERROR(VLOOKUP(TA[[#This Row],[Affected Equipment]],'Basic Data'!$I$2:$K$40,3,0),"")</f>
        <v>8.6206896551724102E-3</v>
      </c>
      <c r="N1351">
        <v>-28</v>
      </c>
      <c r="O1351" t="s">
        <v>135</v>
      </c>
      <c r="P1351" s="22" t="s">
        <v>323</v>
      </c>
      <c r="Q1351" s="2" t="s">
        <v>329</v>
      </c>
      <c r="R1351">
        <v>47</v>
      </c>
      <c r="S1351" s="2">
        <v>18</v>
      </c>
      <c r="T1351" t="s">
        <v>297</v>
      </c>
      <c r="U1351" t="s">
        <v>300</v>
      </c>
      <c r="V1351" t="s">
        <v>301</v>
      </c>
      <c r="W1351" s="41">
        <f>IFERROR(VLOOKUP(TA[[#This Row],[Date]],Raw_Data[[Date]:[Sunset Time (POA&lt;20 W/m2)]],3,0),"")</f>
        <v>0.26319444444444445</v>
      </c>
      <c r="X1351" s="41">
        <f>IFERROR(VLOOKUP(TA[[#This Row],[Date]],Raw_Data[[Date]:[Sunset Time (POA&lt;20 W/m2)]],3,0),"")</f>
        <v>0.26319444444444445</v>
      </c>
      <c r="Y1351" s="34"/>
      <c r="Z1351" s="34"/>
      <c r="AA1351" s="35">
        <f>IF(TA[[#This Row],[Work Start time on Fault]]="NA","",(TA[[#This Row],[Fault Acknowledgement Time ]]-TA[[#This Row],[Fault Time]])*24)</f>
        <v>0</v>
      </c>
      <c r="AB1351" s="35">
        <f>(TA[[#This Row],[Work Start time on Fault]]-TA[[#This Row],[Fault Time]])*24</f>
        <v>-6.3166666666666664</v>
      </c>
      <c r="AC1351" s="34">
        <f>(TA[[#This Row],[Work Completion time on fault]]-TA[[#This Row],[Fault Time]])*24</f>
        <v>-6.3166666666666664</v>
      </c>
      <c r="AD1351" s="35">
        <f>IFERROR((TA[[#This Row],[Work Completion time on fault]]-TA[[#This Row],[Fault Time]])*24,"")</f>
        <v>-6.3166666666666664</v>
      </c>
      <c r="AE1351" t="s">
        <v>328</v>
      </c>
      <c r="AF1351" t="s">
        <v>256</v>
      </c>
      <c r="AG1351" s="2"/>
      <c r="AH1351" s="44">
        <f>1-COS(RADIANS(TA[[#This Row],[Avg. Target Angle during Fault Time (Radians)]]-TA[[#This Row],[Angle of affected equipment ]]))</f>
        <v>0.11705240714107301</v>
      </c>
      <c r="AI1351" s="35">
        <f>IFERROR(TA[[#This Row],[Breakdown Time]]*TA[[#This Row],[Plant Equivalent Weightage]],"")</f>
        <v>-5.4454022988505719E-2</v>
      </c>
    </row>
    <row r="1352" spans="1:35">
      <c r="A1352" s="2">
        <f t="shared" si="151"/>
        <v>1349</v>
      </c>
      <c r="B1352" s="156">
        <f t="shared" si="156"/>
        <v>2026</v>
      </c>
      <c r="C1352" s="129">
        <f t="shared" si="157"/>
        <v>2025</v>
      </c>
      <c r="D1352" s="2" t="s">
        <v>155</v>
      </c>
      <c r="E1352" s="2" t="s">
        <v>155</v>
      </c>
      <c r="F1352" s="39">
        <v>45839</v>
      </c>
      <c r="G1352" s="2">
        <f>DAY(EOMONTH(TA[[#This Row],[Month Year]],0))</f>
        <v>31</v>
      </c>
      <c r="H1352" s="21">
        <v>45840</v>
      </c>
      <c r="I1352" s="41">
        <f>IFERROR(VLOOKUP(TA[[#This Row],[Date]],Raw_Data[[Date]:[Sunset Time (POA&lt;20 W/m2)]],3,0),"")</f>
        <v>0.26319444444444445</v>
      </c>
      <c r="J1352" s="41">
        <f>IFERROR(VLOOKUP(TA[[#This Row],[Date]],Raw_Data[[Date]:[Sunset Time (POA&lt;20 W/m2)]],4,0),"")</f>
        <v>0.78333333333333333</v>
      </c>
      <c r="K1352" s="35">
        <f>IFERROR((TA[[#This Row],[Sunset Time (POA&lt;20 W/m2)]]-TA[[#This Row],[Sunrise Time (POA&gt;20 W/m2)]])*24,"")</f>
        <v>12.483333333333334</v>
      </c>
      <c r="L1352" s="2" t="s">
        <v>296</v>
      </c>
      <c r="M1352" s="42">
        <f>IFERROR(VLOOKUP(TA[[#This Row],[Affected Equipment]],'Basic Data'!$I$2:$K$40,3,0),"")</f>
        <v>8.6206896551724102E-3</v>
      </c>
      <c r="N1352">
        <v>-28</v>
      </c>
      <c r="O1352" t="s">
        <v>134</v>
      </c>
      <c r="P1352" s="22" t="s">
        <v>330</v>
      </c>
      <c r="Q1352" s="2" t="s">
        <v>323</v>
      </c>
      <c r="R1352">
        <v>30</v>
      </c>
      <c r="S1352" s="2">
        <v>57</v>
      </c>
      <c r="T1352" t="s">
        <v>297</v>
      </c>
      <c r="U1352" t="s">
        <v>300</v>
      </c>
      <c r="V1352" t="s">
        <v>301</v>
      </c>
      <c r="W1352" s="41">
        <f>IFERROR(VLOOKUP(TA[[#This Row],[Date]],Raw_Data[[Date]:[Sunset Time (POA&lt;20 W/m2)]],3,0),"")</f>
        <v>0.26319444444444445</v>
      </c>
      <c r="X1352" s="41">
        <f>IFERROR(VLOOKUP(TA[[#This Row],[Date]],Raw_Data[[Date]:[Sunset Time (POA&lt;20 W/m2)]],3,0),"")</f>
        <v>0.26319444444444445</v>
      </c>
      <c r="Y1352" s="34"/>
      <c r="Z1352" s="34"/>
      <c r="AA1352" s="35">
        <f>IF(TA[[#This Row],[Work Start time on Fault]]="NA","",(TA[[#This Row],[Fault Acknowledgement Time ]]-TA[[#This Row],[Fault Time]])*24)</f>
        <v>0</v>
      </c>
      <c r="AB1352" s="35">
        <f>(TA[[#This Row],[Work Start time on Fault]]-TA[[#This Row],[Fault Time]])*24</f>
        <v>-6.3166666666666664</v>
      </c>
      <c r="AC1352" s="34">
        <f>(TA[[#This Row],[Work Completion time on fault]]-TA[[#This Row],[Fault Time]])*24</f>
        <v>-6.3166666666666664</v>
      </c>
      <c r="AD1352" s="35">
        <f>IFERROR((TA[[#This Row],[Work Completion time on fault]]-TA[[#This Row],[Fault Time]])*24,"")</f>
        <v>-6.3166666666666664</v>
      </c>
      <c r="AE1352" t="s">
        <v>328</v>
      </c>
      <c r="AF1352" t="s">
        <v>256</v>
      </c>
      <c r="AG1352" s="2"/>
      <c r="AH1352" s="44">
        <f>1-COS(RADIANS(TA[[#This Row],[Avg. Target Angle during Fault Time (Radians)]]-TA[[#This Row],[Angle of affected equipment ]]))</f>
        <v>0.11705240714107301</v>
      </c>
      <c r="AI1352" s="35">
        <f>IFERROR(TA[[#This Row],[Breakdown Time]]*TA[[#This Row],[Plant Equivalent Weightage]],"")</f>
        <v>-5.4454022988505719E-2</v>
      </c>
    </row>
    <row r="1353" spans="1:35">
      <c r="A1353" s="2">
        <f t="shared" si="151"/>
        <v>1350</v>
      </c>
      <c r="B1353" s="156">
        <f t="shared" si="156"/>
        <v>2026</v>
      </c>
      <c r="C1353" s="129">
        <f t="shared" si="157"/>
        <v>2025</v>
      </c>
      <c r="D1353" s="2" t="s">
        <v>155</v>
      </c>
      <c r="E1353" s="2" t="s">
        <v>155</v>
      </c>
      <c r="F1353" s="39">
        <v>45839</v>
      </c>
      <c r="G1353" s="2">
        <f>DAY(EOMONTH(TA[[#This Row],[Month Year]],0))</f>
        <v>31</v>
      </c>
      <c r="H1353" s="21">
        <v>45840</v>
      </c>
      <c r="I1353" s="41">
        <f>IFERROR(VLOOKUP(TA[[#This Row],[Date]],Raw_Data[[Date]:[Sunset Time (POA&lt;20 W/m2)]],3,0),"")</f>
        <v>0.26319444444444445</v>
      </c>
      <c r="J1353" s="41">
        <f>IFERROR(VLOOKUP(TA[[#This Row],[Date]],Raw_Data[[Date]:[Sunset Time (POA&lt;20 W/m2)]],4,0),"")</f>
        <v>0.78333333333333333</v>
      </c>
      <c r="K1353" s="35">
        <f>IFERROR((TA[[#This Row],[Sunset Time (POA&lt;20 W/m2)]]-TA[[#This Row],[Sunrise Time (POA&gt;20 W/m2)]])*24,"")</f>
        <v>12.483333333333334</v>
      </c>
      <c r="L1353" s="2" t="s">
        <v>296</v>
      </c>
      <c r="M1353" s="42">
        <f>IFERROR(VLOOKUP(TA[[#This Row],[Affected Equipment]],'Basic Data'!$I$2:$K$40,3,0),"")</f>
        <v>8.6206896551724102E-3</v>
      </c>
      <c r="N1353">
        <v>-28</v>
      </c>
      <c r="O1353" t="s">
        <v>134</v>
      </c>
      <c r="P1353" s="22" t="s">
        <v>330</v>
      </c>
      <c r="Q1353" s="2" t="s">
        <v>323</v>
      </c>
      <c r="R1353">
        <v>31</v>
      </c>
      <c r="S1353" s="2">
        <v>61</v>
      </c>
      <c r="T1353" t="s">
        <v>297</v>
      </c>
      <c r="U1353" t="s">
        <v>300</v>
      </c>
      <c r="V1353" t="s">
        <v>301</v>
      </c>
      <c r="W1353" s="41">
        <f>IFERROR(VLOOKUP(TA[[#This Row],[Date]],Raw_Data[[Date]:[Sunset Time (POA&lt;20 W/m2)]],3,0),"")</f>
        <v>0.26319444444444445</v>
      </c>
      <c r="X1353" s="41">
        <f>IFERROR(VLOOKUP(TA[[#This Row],[Date]],Raw_Data[[Date]:[Sunset Time (POA&lt;20 W/m2)]],3,0),"")</f>
        <v>0.26319444444444445</v>
      </c>
      <c r="Y1353" s="34"/>
      <c r="Z1353" s="34"/>
      <c r="AA1353" s="35">
        <f>IF(TA[[#This Row],[Work Start time on Fault]]="NA","",(TA[[#This Row],[Fault Acknowledgement Time ]]-TA[[#This Row],[Fault Time]])*24)</f>
        <v>0</v>
      </c>
      <c r="AB1353" s="35">
        <f>(TA[[#This Row],[Work Start time on Fault]]-TA[[#This Row],[Fault Time]])*24</f>
        <v>-6.3166666666666664</v>
      </c>
      <c r="AC1353" s="34">
        <f>(TA[[#This Row],[Work Completion time on fault]]-TA[[#This Row],[Fault Time]])*24</f>
        <v>-6.3166666666666664</v>
      </c>
      <c r="AD1353" s="35">
        <f>IFERROR((TA[[#This Row],[Work Completion time on fault]]-TA[[#This Row],[Fault Time]])*24,"")</f>
        <v>-6.3166666666666664</v>
      </c>
      <c r="AE1353" t="s">
        <v>328</v>
      </c>
      <c r="AF1353" t="s">
        <v>256</v>
      </c>
      <c r="AG1353" s="2"/>
      <c r="AH1353" s="44">
        <f>1-COS(RADIANS(TA[[#This Row],[Avg. Target Angle during Fault Time (Radians)]]-TA[[#This Row],[Angle of affected equipment ]]))</f>
        <v>0.11705240714107301</v>
      </c>
      <c r="AI1353" s="35">
        <f>IFERROR(TA[[#This Row],[Breakdown Time]]*TA[[#This Row],[Plant Equivalent Weightage]],"")</f>
        <v>-5.4454022988505719E-2</v>
      </c>
    </row>
    <row r="1354" spans="1:35">
      <c r="A1354" s="2">
        <f t="shared" si="151"/>
        <v>1351</v>
      </c>
      <c r="B1354" s="156">
        <f t="shared" si="156"/>
        <v>2026</v>
      </c>
      <c r="C1354" s="129">
        <f t="shared" si="157"/>
        <v>2025</v>
      </c>
      <c r="D1354" s="2" t="s">
        <v>155</v>
      </c>
      <c r="E1354" s="2" t="s">
        <v>155</v>
      </c>
      <c r="F1354" s="39">
        <v>45839</v>
      </c>
      <c r="G1354" s="2">
        <f>DAY(EOMONTH(TA[[#This Row],[Month Year]],0))</f>
        <v>31</v>
      </c>
      <c r="H1354" s="21">
        <v>45840</v>
      </c>
      <c r="I1354" s="41">
        <f>IFERROR(VLOOKUP(TA[[#This Row],[Date]],Raw_Data[[Date]:[Sunset Time (POA&lt;20 W/m2)]],3,0),"")</f>
        <v>0.26319444444444445</v>
      </c>
      <c r="J1354" s="41">
        <f>IFERROR(VLOOKUP(TA[[#This Row],[Date]],Raw_Data[[Date]:[Sunset Time (POA&lt;20 W/m2)]],4,0),"")</f>
        <v>0.78333333333333333</v>
      </c>
      <c r="K1354" s="35">
        <f>IFERROR((TA[[#This Row],[Sunset Time (POA&lt;20 W/m2)]]-TA[[#This Row],[Sunrise Time (POA&gt;20 W/m2)]])*24,"")</f>
        <v>12.483333333333334</v>
      </c>
      <c r="L1354" s="2" t="s">
        <v>312</v>
      </c>
      <c r="M1354" s="42">
        <f>IFERROR(VLOOKUP(TA[[#This Row],[Affected Equipment]],'Basic Data'!$I$2:$K$40,3,0),"")</f>
        <v>5.74712643678161E-3</v>
      </c>
      <c r="N1354">
        <v>-28</v>
      </c>
      <c r="O1354" t="s">
        <v>133</v>
      </c>
      <c r="P1354" s="22" t="s">
        <v>330</v>
      </c>
      <c r="Q1354" s="2" t="s">
        <v>323</v>
      </c>
      <c r="R1354">
        <v>26</v>
      </c>
      <c r="S1354" s="2">
        <v>37</v>
      </c>
      <c r="T1354" t="s">
        <v>297</v>
      </c>
      <c r="U1354" t="s">
        <v>300</v>
      </c>
      <c r="V1354" t="s">
        <v>301</v>
      </c>
      <c r="W1354" s="41">
        <f>IFERROR(VLOOKUP(TA[[#This Row],[Date]],Raw_Data[[Date]:[Sunset Time (POA&lt;20 W/m2)]],3,0),"")</f>
        <v>0.26319444444444445</v>
      </c>
      <c r="X1354" s="41">
        <f>IFERROR(VLOOKUP(TA[[#This Row],[Date]],Raw_Data[[Date]:[Sunset Time (POA&lt;20 W/m2)]],3,0),"")</f>
        <v>0.26319444444444445</v>
      </c>
      <c r="Y1354" s="34"/>
      <c r="Z1354" s="34"/>
      <c r="AA1354" s="35">
        <f>IF(TA[[#This Row],[Work Start time on Fault]]="NA","",(TA[[#This Row],[Fault Acknowledgement Time ]]-TA[[#This Row],[Fault Time]])*24)</f>
        <v>0</v>
      </c>
      <c r="AB1354" s="35">
        <f>(TA[[#This Row],[Work Start time on Fault]]-TA[[#This Row],[Fault Time]])*24</f>
        <v>-6.3166666666666664</v>
      </c>
      <c r="AC1354" s="34">
        <f>(TA[[#This Row],[Work Completion time on fault]]-TA[[#This Row],[Fault Time]])*24</f>
        <v>-6.3166666666666664</v>
      </c>
      <c r="AD1354" s="35">
        <f>IFERROR((TA[[#This Row],[Work Completion time on fault]]-TA[[#This Row],[Fault Time]])*24,"")</f>
        <v>-6.3166666666666664</v>
      </c>
      <c r="AE1354" t="s">
        <v>328</v>
      </c>
      <c r="AF1354" t="s">
        <v>256</v>
      </c>
      <c r="AG1354" s="2"/>
      <c r="AH1354" s="44">
        <f>1-COS(RADIANS(TA[[#This Row],[Avg. Target Angle during Fault Time (Radians)]]-TA[[#This Row],[Angle of affected equipment ]]))</f>
        <v>0.11705240714107301</v>
      </c>
      <c r="AI1354" s="35">
        <f>IFERROR(TA[[#This Row],[Breakdown Time]]*TA[[#This Row],[Plant Equivalent Weightage]],"")</f>
        <v>-3.6302681992337167E-2</v>
      </c>
    </row>
    <row r="1355" spans="1:35">
      <c r="A1355" s="2">
        <f t="shared" si="151"/>
        <v>1352</v>
      </c>
      <c r="B1355" s="156">
        <f t="shared" si="156"/>
        <v>2026</v>
      </c>
      <c r="C1355" s="129">
        <f t="shared" si="157"/>
        <v>2025</v>
      </c>
      <c r="D1355" s="2" t="s">
        <v>155</v>
      </c>
      <c r="E1355" s="2" t="s">
        <v>155</v>
      </c>
      <c r="F1355" s="39">
        <v>45839</v>
      </c>
      <c r="G1355" s="2">
        <f>DAY(EOMONTH(TA[[#This Row],[Month Year]],0))</f>
        <v>31</v>
      </c>
      <c r="H1355" s="21">
        <v>45840</v>
      </c>
      <c r="I1355" s="41">
        <f>IFERROR(VLOOKUP(TA[[#This Row],[Date]],Raw_Data[[Date]:[Sunset Time (POA&lt;20 W/m2)]],3,0),"")</f>
        <v>0.26319444444444445</v>
      </c>
      <c r="J1355" s="41">
        <f>IFERROR(VLOOKUP(TA[[#This Row],[Date]],Raw_Data[[Date]:[Sunset Time (POA&lt;20 W/m2)]],4,0),"")</f>
        <v>0.78333333333333333</v>
      </c>
      <c r="K1355" s="35">
        <f>IFERROR((TA[[#This Row],[Sunset Time (POA&lt;20 W/m2)]]-TA[[#This Row],[Sunrise Time (POA&gt;20 W/m2)]])*24,"")</f>
        <v>12.483333333333334</v>
      </c>
      <c r="L1355" s="2" t="s">
        <v>312</v>
      </c>
      <c r="M1355" s="42">
        <f>IFERROR(VLOOKUP(TA[[#This Row],[Affected Equipment]],'Basic Data'!$I$2:$K$40,3,0),"")</f>
        <v>5.74712643678161E-3</v>
      </c>
      <c r="N1355">
        <v>-28</v>
      </c>
      <c r="O1355" t="s">
        <v>133</v>
      </c>
      <c r="P1355" s="22" t="s">
        <v>330</v>
      </c>
      <c r="Q1355" s="2" t="s">
        <v>323</v>
      </c>
      <c r="R1355">
        <v>27</v>
      </c>
      <c r="S1355" s="2">
        <v>42</v>
      </c>
      <c r="T1355" t="s">
        <v>297</v>
      </c>
      <c r="U1355" t="s">
        <v>300</v>
      </c>
      <c r="V1355" t="s">
        <v>301</v>
      </c>
      <c r="W1355" s="41">
        <f>IFERROR(VLOOKUP(TA[[#This Row],[Date]],Raw_Data[[Date]:[Sunset Time (POA&lt;20 W/m2)]],3,0),"")</f>
        <v>0.26319444444444445</v>
      </c>
      <c r="X1355" s="41">
        <f>IFERROR(VLOOKUP(TA[[#This Row],[Date]],Raw_Data[[Date]:[Sunset Time (POA&lt;20 W/m2)]],3,0),"")</f>
        <v>0.26319444444444445</v>
      </c>
      <c r="Y1355" s="34"/>
      <c r="Z1355" s="34">
        <v>0.76041666666666663</v>
      </c>
      <c r="AA1355" s="35">
        <f>IF(TA[[#This Row],[Work Start time on Fault]]="NA","",(TA[[#This Row],[Fault Acknowledgement Time ]]-TA[[#This Row],[Fault Time]])*24)</f>
        <v>0</v>
      </c>
      <c r="AB1355" s="35">
        <f>(TA[[#This Row],[Work Start time on Fault]]-TA[[#This Row],[Fault Time]])*24</f>
        <v>-6.3166666666666664</v>
      </c>
      <c r="AC1355" s="34">
        <f>(TA[[#This Row],[Work Completion time on fault]]-TA[[#This Row],[Fault Time]])*24</f>
        <v>11.933333333333332</v>
      </c>
      <c r="AD1355" s="35">
        <f>IFERROR((TA[[#This Row],[Work Completion time on fault]]-TA[[#This Row],[Fault Time]])*24,"")</f>
        <v>11.933333333333332</v>
      </c>
      <c r="AE1355" t="s">
        <v>309</v>
      </c>
      <c r="AF1355" t="s">
        <v>256</v>
      </c>
      <c r="AG1355" s="2"/>
      <c r="AH1355" s="44">
        <f>1-COS(RADIANS(TA[[#This Row],[Avg. Target Angle during Fault Time (Radians)]]-TA[[#This Row],[Angle of affected equipment ]]))</f>
        <v>0.11705240714107301</v>
      </c>
      <c r="AI1355" s="35">
        <f>IFERROR(TA[[#This Row],[Breakdown Time]]*TA[[#This Row],[Plant Equivalent Weightage]],"")</f>
        <v>6.8582375478927204E-2</v>
      </c>
    </row>
    <row r="1356" spans="1:35">
      <c r="A1356" s="2">
        <f t="shared" si="151"/>
        <v>1353</v>
      </c>
      <c r="B1356" s="156">
        <f t="shared" ref="B1356:B1368" si="158">YEAR(H1356)+IF(MONTH(H1356)&gt;=4,1,0)</f>
        <v>2026</v>
      </c>
      <c r="C1356" s="129">
        <f t="shared" ref="C1356:C1368" si="159">YEAR(H1356)</f>
        <v>2025</v>
      </c>
      <c r="D1356" s="2" t="s">
        <v>155</v>
      </c>
      <c r="E1356" s="2" t="s">
        <v>155</v>
      </c>
      <c r="F1356" s="39">
        <v>45839</v>
      </c>
      <c r="G1356" s="2">
        <f>DAY(EOMONTH(TA[[#This Row],[Month Year]],0))</f>
        <v>31</v>
      </c>
      <c r="H1356" s="21">
        <v>45841</v>
      </c>
      <c r="I1356" s="41">
        <f>IFERROR(VLOOKUP(TA[[#This Row],[Date]],Raw_Data[[Date]:[Sunset Time (POA&lt;20 W/m2)]],3,0),"")</f>
        <v>0.25763888888888886</v>
      </c>
      <c r="J1356" s="41">
        <f>IFERROR(VLOOKUP(TA[[#This Row],[Date]],Raw_Data[[Date]:[Sunset Time (POA&lt;20 W/m2)]],4,0),"")</f>
        <v>0.77430555555555558</v>
      </c>
      <c r="K1356" s="35">
        <f>IFERROR((TA[[#This Row],[Sunset Time (POA&lt;20 W/m2)]]-TA[[#This Row],[Sunrise Time (POA&gt;20 W/m2)]])*24,"")</f>
        <v>12.400000000000002</v>
      </c>
      <c r="L1356" s="2" t="s">
        <v>294</v>
      </c>
      <c r="M1356" s="42">
        <f>IFERROR(VLOOKUP(TA[[#This Row],[Affected Equipment]],'Basic Data'!$I$2:$K$40,3,0),"")</f>
        <v>1.7241379310344799E-3</v>
      </c>
      <c r="N1356">
        <v>-28</v>
      </c>
      <c r="O1356" t="s">
        <v>135</v>
      </c>
      <c r="P1356" s="127" t="s">
        <v>318</v>
      </c>
      <c r="Q1356" s="126" t="s">
        <v>318</v>
      </c>
      <c r="R1356">
        <v>131</v>
      </c>
      <c r="S1356" s="2">
        <v>38</v>
      </c>
      <c r="T1356" t="s">
        <v>295</v>
      </c>
      <c r="U1356" t="s">
        <v>300</v>
      </c>
      <c r="V1356" t="s">
        <v>298</v>
      </c>
      <c r="W1356" s="41"/>
      <c r="X1356" s="41"/>
      <c r="Y1356" s="34"/>
      <c r="Z1356" s="34"/>
      <c r="AA1356" s="35">
        <f>IF(TA[[#This Row],[Work Start time on Fault]]="NA","",(TA[[#This Row],[Fault Acknowledgement Time ]]-TA[[#This Row],[Fault Time]])*24)</f>
        <v>0</v>
      </c>
      <c r="AB1356" s="35">
        <f>(TA[[#This Row],[Work Start time on Fault]]-TA[[#This Row],[Fault Time]])*24</f>
        <v>0</v>
      </c>
      <c r="AC1356" s="34">
        <f>(TA[[#This Row],[Work Completion time on fault]]-TA[[#This Row],[Fault Time]])*24</f>
        <v>0</v>
      </c>
      <c r="AD1356" s="35">
        <f>IFERROR((TA[[#This Row],[Work Completion time on fault]]-TA[[#This Row],[Fault Time]])*24,"")</f>
        <v>0</v>
      </c>
      <c r="AE1356" t="s">
        <v>328</v>
      </c>
      <c r="AF1356" t="s">
        <v>256</v>
      </c>
      <c r="AG1356" s="2"/>
      <c r="AH1356" s="44">
        <f>1-COS(RADIANS(TA[[#This Row],[Avg. Target Angle during Fault Time (Radians)]]-TA[[#This Row],[Angle of affected equipment ]]))</f>
        <v>0.11705240714107301</v>
      </c>
      <c r="AI1356" s="35">
        <f>IFERROR(TA[[#This Row],[Breakdown Time]]*TA[[#This Row],[Plant Equivalent Weightage]],"")</f>
        <v>0</v>
      </c>
    </row>
    <row r="1357" spans="1:35">
      <c r="A1357" s="2">
        <f t="shared" si="151"/>
        <v>1354</v>
      </c>
      <c r="B1357" s="156">
        <f t="shared" si="158"/>
        <v>2026</v>
      </c>
      <c r="C1357" s="129">
        <f t="shared" si="159"/>
        <v>2025</v>
      </c>
      <c r="D1357" s="2" t="s">
        <v>155</v>
      </c>
      <c r="E1357" s="2" t="s">
        <v>155</v>
      </c>
      <c r="F1357" s="39">
        <v>45839</v>
      </c>
      <c r="G1357" s="2">
        <f>DAY(EOMONTH(TA[[#This Row],[Month Year]],0))</f>
        <v>31</v>
      </c>
      <c r="H1357" s="21">
        <v>45841</v>
      </c>
      <c r="I1357" s="41">
        <f>IFERROR(VLOOKUP(TA[[#This Row],[Date]],Raw_Data[[Date]:[Sunset Time (POA&lt;20 W/m2)]],3,0),"")</f>
        <v>0.25763888888888886</v>
      </c>
      <c r="J1357" s="41">
        <f>IFERROR(VLOOKUP(TA[[#This Row],[Date]],Raw_Data[[Date]:[Sunset Time (POA&lt;20 W/m2)]],4,0),"")</f>
        <v>0.77430555555555558</v>
      </c>
      <c r="K1357" s="35">
        <f>IFERROR((TA[[#This Row],[Sunset Time (POA&lt;20 W/m2)]]-TA[[#This Row],[Sunrise Time (POA&gt;20 W/m2)]])*24,"")</f>
        <v>12.400000000000002</v>
      </c>
      <c r="L1357" s="2" t="s">
        <v>294</v>
      </c>
      <c r="M1357" s="42">
        <f>IFERROR(VLOOKUP(TA[[#This Row],[Affected Equipment]],'Basic Data'!$I$2:$K$40,3,0),"")</f>
        <v>1.7241379310344799E-3</v>
      </c>
      <c r="N1357">
        <v>-28</v>
      </c>
      <c r="O1357" t="s">
        <v>135</v>
      </c>
      <c r="P1357" s="127" t="s">
        <v>318</v>
      </c>
      <c r="Q1357" s="126" t="s">
        <v>318</v>
      </c>
      <c r="R1357">
        <v>131</v>
      </c>
      <c r="S1357" s="2">
        <v>39</v>
      </c>
      <c r="T1357" t="s">
        <v>295</v>
      </c>
      <c r="U1357" t="s">
        <v>300</v>
      </c>
      <c r="V1357" t="s">
        <v>298</v>
      </c>
      <c r="W1357" s="41"/>
      <c r="X1357" s="41"/>
      <c r="Y1357" s="34"/>
      <c r="Z1357" s="34"/>
      <c r="AA1357" s="35">
        <f>IF(TA[[#This Row],[Work Start time on Fault]]="NA","",(TA[[#This Row],[Fault Acknowledgement Time ]]-TA[[#This Row],[Fault Time]])*24)</f>
        <v>0</v>
      </c>
      <c r="AB1357" s="35">
        <f>(TA[[#This Row],[Work Start time on Fault]]-TA[[#This Row],[Fault Time]])*24</f>
        <v>0</v>
      </c>
      <c r="AC1357" s="34">
        <f>(TA[[#This Row],[Work Completion time on fault]]-TA[[#This Row],[Fault Time]])*24</f>
        <v>0</v>
      </c>
      <c r="AD1357" s="35">
        <f>IFERROR((TA[[#This Row],[Work Completion time on fault]]-TA[[#This Row],[Fault Time]])*24,"")</f>
        <v>0</v>
      </c>
      <c r="AE1357" t="s">
        <v>328</v>
      </c>
      <c r="AF1357" t="s">
        <v>256</v>
      </c>
      <c r="AG1357" s="2"/>
      <c r="AH1357" s="44">
        <f>1-COS(RADIANS(TA[[#This Row],[Avg. Target Angle during Fault Time (Radians)]]-TA[[#This Row],[Angle of affected equipment ]]))</f>
        <v>0.11705240714107301</v>
      </c>
      <c r="AI1357" s="35">
        <f>IFERROR(TA[[#This Row],[Breakdown Time]]*TA[[#This Row],[Plant Equivalent Weightage]],"")</f>
        <v>0</v>
      </c>
    </row>
    <row r="1358" spans="1:35">
      <c r="A1358" s="2">
        <f t="shared" si="151"/>
        <v>1355</v>
      </c>
      <c r="B1358" s="156">
        <f t="shared" si="158"/>
        <v>2026</v>
      </c>
      <c r="C1358" s="129">
        <f t="shared" si="159"/>
        <v>2025</v>
      </c>
      <c r="D1358" s="2" t="s">
        <v>155</v>
      </c>
      <c r="E1358" s="2" t="s">
        <v>155</v>
      </c>
      <c r="F1358" s="39">
        <v>45839</v>
      </c>
      <c r="G1358" s="2">
        <f>DAY(EOMONTH(TA[[#This Row],[Month Year]],0))</f>
        <v>31</v>
      </c>
      <c r="H1358" s="21">
        <v>45841</v>
      </c>
      <c r="I1358" s="41">
        <f>IFERROR(VLOOKUP(TA[[#This Row],[Date]],Raw_Data[[Date]:[Sunset Time (POA&lt;20 W/m2)]],3,0),"")</f>
        <v>0.25763888888888886</v>
      </c>
      <c r="J1358" s="41">
        <f>IFERROR(VLOOKUP(TA[[#This Row],[Date]],Raw_Data[[Date]:[Sunset Time (POA&lt;20 W/m2)]],4,0),"")</f>
        <v>0.77430555555555558</v>
      </c>
      <c r="K1358" s="35">
        <f>IFERROR((TA[[#This Row],[Sunset Time (POA&lt;20 W/m2)]]-TA[[#This Row],[Sunrise Time (POA&gt;20 W/m2)]])*24,"")</f>
        <v>12.400000000000002</v>
      </c>
      <c r="L1358" s="2" t="s">
        <v>296</v>
      </c>
      <c r="M1358" s="42">
        <f>IFERROR(VLOOKUP(TA[[#This Row],[Affected Equipment]],'Basic Data'!$I$2:$K$40,3,0),"")</f>
        <v>8.6206896551724102E-3</v>
      </c>
      <c r="N1358">
        <v>-28</v>
      </c>
      <c r="O1358" t="s">
        <v>135</v>
      </c>
      <c r="P1358" s="127" t="s">
        <v>318</v>
      </c>
      <c r="Q1358" s="2" t="s">
        <v>321</v>
      </c>
      <c r="R1358">
        <v>133</v>
      </c>
      <c r="S1358" s="2">
        <v>26</v>
      </c>
      <c r="T1358" t="s">
        <v>297</v>
      </c>
      <c r="U1358" t="s">
        <v>300</v>
      </c>
      <c r="V1358" t="s">
        <v>314</v>
      </c>
      <c r="W1358" s="41">
        <f>IFERROR(VLOOKUP(TA[[#This Row],[Date]],Raw_Data[[Date]:[Sunset Time (POA&lt;20 W/m2)]],3,0),"")</f>
        <v>0.25763888888888886</v>
      </c>
      <c r="X1358" s="41">
        <f>IFERROR(VLOOKUP(TA[[#This Row],[Date]],Raw_Data[[Date]:[Sunset Time (POA&lt;20 W/m2)]],3,0),"")</f>
        <v>0.25763888888888886</v>
      </c>
      <c r="Y1358" s="34"/>
      <c r="Z1358" s="34">
        <v>0.76041666666666663</v>
      </c>
      <c r="AA1358" s="35">
        <f>IF(TA[[#This Row],[Work Start time on Fault]]="NA","",(TA[[#This Row],[Fault Acknowledgement Time ]]-TA[[#This Row],[Fault Time]])*24)</f>
        <v>0</v>
      </c>
      <c r="AB1358" s="35">
        <f>(TA[[#This Row],[Work Start time on Fault]]-TA[[#This Row],[Fault Time]])*24</f>
        <v>-6.1833333333333327</v>
      </c>
      <c r="AC1358" s="34">
        <f>(TA[[#This Row],[Work Completion time on fault]]-TA[[#This Row],[Fault Time]])*24</f>
        <v>12.066666666666666</v>
      </c>
      <c r="AD1358" s="35">
        <f>IFERROR((TA[[#This Row],[Work Completion time on fault]]-TA[[#This Row],[Fault Time]])*24,"")</f>
        <v>12.066666666666666</v>
      </c>
      <c r="AE1358" t="s">
        <v>328</v>
      </c>
      <c r="AF1358" t="s">
        <v>256</v>
      </c>
      <c r="AG1358" s="2"/>
      <c r="AH1358" s="44">
        <f>1-COS(RADIANS(TA[[#This Row],[Avg. Target Angle during Fault Time (Radians)]]-TA[[#This Row],[Angle of affected equipment ]]))</f>
        <v>0.11705240714107301</v>
      </c>
      <c r="AI1358" s="35">
        <f>IFERROR(TA[[#This Row],[Breakdown Time]]*TA[[#This Row],[Plant Equivalent Weightage]],"")</f>
        <v>0.10402298850574708</v>
      </c>
    </row>
    <row r="1359" spans="1:35">
      <c r="A1359" s="2">
        <f t="shared" si="151"/>
        <v>1356</v>
      </c>
      <c r="B1359" s="156">
        <f t="shared" si="158"/>
        <v>2026</v>
      </c>
      <c r="C1359" s="129">
        <f t="shared" si="159"/>
        <v>2025</v>
      </c>
      <c r="D1359" s="2" t="s">
        <v>155</v>
      </c>
      <c r="E1359" s="2" t="s">
        <v>155</v>
      </c>
      <c r="F1359" s="39">
        <v>45839</v>
      </c>
      <c r="G1359" s="2">
        <f>DAY(EOMONTH(TA[[#This Row],[Month Year]],0))</f>
        <v>31</v>
      </c>
      <c r="H1359" s="21">
        <v>45841</v>
      </c>
      <c r="I1359" s="41">
        <f>IFERROR(VLOOKUP(TA[[#This Row],[Date]],Raw_Data[[Date]:[Sunset Time (POA&lt;20 W/m2)]],3,0),"")</f>
        <v>0.25763888888888886</v>
      </c>
      <c r="J1359" s="41">
        <f>IFERROR(VLOOKUP(TA[[#This Row],[Date]],Raw_Data[[Date]:[Sunset Time (POA&lt;20 W/m2)]],4,0),"")</f>
        <v>0.77430555555555558</v>
      </c>
      <c r="K1359" s="35">
        <f>IFERROR((TA[[#This Row],[Sunset Time (POA&lt;20 W/m2)]]-TA[[#This Row],[Sunrise Time (POA&gt;20 W/m2)]])*24,"")</f>
        <v>12.400000000000002</v>
      </c>
      <c r="L1359" s="2" t="s">
        <v>294</v>
      </c>
      <c r="M1359" s="42">
        <f>IFERROR(VLOOKUP(TA[[#This Row],[Affected Equipment]],'Basic Data'!$I$2:$K$40,3,0),"")</f>
        <v>1.7241379310344799E-3</v>
      </c>
      <c r="N1359">
        <v>-28</v>
      </c>
      <c r="O1359" t="s">
        <v>133</v>
      </c>
      <c r="P1359" s="127" t="s">
        <v>316</v>
      </c>
      <c r="Q1359" s="126" t="s">
        <v>317</v>
      </c>
      <c r="R1359">
        <v>7</v>
      </c>
      <c r="S1359" s="2">
        <v>32</v>
      </c>
      <c r="T1359" t="s">
        <v>295</v>
      </c>
      <c r="U1359" t="s">
        <v>300</v>
      </c>
      <c r="V1359" t="s">
        <v>298</v>
      </c>
      <c r="W1359" s="41"/>
      <c r="X1359" s="41"/>
      <c r="Y1359" s="34"/>
      <c r="Z1359" s="34"/>
      <c r="AA1359" s="35">
        <f>IF(TA[[#This Row],[Work Start time on Fault]]="NA","",(TA[[#This Row],[Fault Acknowledgement Time ]]-TA[[#This Row],[Fault Time]])*24)</f>
        <v>0</v>
      </c>
      <c r="AB1359" s="35">
        <f>(TA[[#This Row],[Work Start time on Fault]]-TA[[#This Row],[Fault Time]])*24</f>
        <v>0</v>
      </c>
      <c r="AC1359" s="34">
        <f>(TA[[#This Row],[Work Completion time on fault]]-TA[[#This Row],[Fault Time]])*24</f>
        <v>0</v>
      </c>
      <c r="AD1359" s="35">
        <f>IFERROR((TA[[#This Row],[Work Completion time on fault]]-TA[[#This Row],[Fault Time]])*24,"")</f>
        <v>0</v>
      </c>
      <c r="AE1359" t="s">
        <v>328</v>
      </c>
      <c r="AF1359" t="s">
        <v>256</v>
      </c>
      <c r="AG1359" s="2"/>
      <c r="AH1359" s="44">
        <f>1-COS(RADIANS(TA[[#This Row],[Avg. Target Angle during Fault Time (Radians)]]-TA[[#This Row],[Angle of affected equipment ]]))</f>
        <v>0.11705240714107301</v>
      </c>
      <c r="AI1359" s="35">
        <f>IFERROR(TA[[#This Row],[Breakdown Time]]*TA[[#This Row],[Plant Equivalent Weightage]],"")</f>
        <v>0</v>
      </c>
    </row>
    <row r="1360" spans="1:35">
      <c r="A1360" s="2">
        <f t="shared" si="151"/>
        <v>1357</v>
      </c>
      <c r="B1360" s="156">
        <f t="shared" si="158"/>
        <v>2026</v>
      </c>
      <c r="C1360" s="129">
        <f t="shared" si="159"/>
        <v>2025</v>
      </c>
      <c r="D1360" s="2" t="s">
        <v>155</v>
      </c>
      <c r="E1360" s="2" t="s">
        <v>155</v>
      </c>
      <c r="F1360" s="39">
        <v>45839</v>
      </c>
      <c r="G1360" s="2">
        <f>DAY(EOMONTH(TA[[#This Row],[Month Year]],0))</f>
        <v>31</v>
      </c>
      <c r="H1360" s="21">
        <v>45841</v>
      </c>
      <c r="I1360" s="41">
        <f>IFERROR(VLOOKUP(TA[[#This Row],[Date]],Raw_Data[[Date]:[Sunset Time (POA&lt;20 W/m2)]],3,0),"")</f>
        <v>0.25763888888888886</v>
      </c>
      <c r="J1360" s="41">
        <f>IFERROR(VLOOKUP(TA[[#This Row],[Date]],Raw_Data[[Date]:[Sunset Time (POA&lt;20 W/m2)]],4,0),"")</f>
        <v>0.77430555555555558</v>
      </c>
      <c r="K1360" s="35">
        <f>IFERROR((TA[[#This Row],[Sunset Time (POA&lt;20 W/m2)]]-TA[[#This Row],[Sunrise Time (POA&gt;20 W/m2)]])*24,"")</f>
        <v>12.400000000000002</v>
      </c>
      <c r="L1360" s="2" t="s">
        <v>294</v>
      </c>
      <c r="M1360" s="42">
        <f>IFERROR(VLOOKUP(TA[[#This Row],[Affected Equipment]],'Basic Data'!$I$2:$K$40,3,0),"")</f>
        <v>1.7241379310344799E-3</v>
      </c>
      <c r="N1360">
        <v>-28</v>
      </c>
      <c r="O1360" t="s">
        <v>137</v>
      </c>
      <c r="P1360" s="127" t="s">
        <v>315</v>
      </c>
      <c r="Q1360" s="126" t="s">
        <v>319</v>
      </c>
      <c r="R1360">
        <v>166</v>
      </c>
      <c r="S1360" s="2">
        <v>91</v>
      </c>
      <c r="T1360" t="s">
        <v>295</v>
      </c>
      <c r="U1360" t="s">
        <v>300</v>
      </c>
      <c r="V1360" t="s">
        <v>298</v>
      </c>
      <c r="W1360" s="41"/>
      <c r="X1360" s="41"/>
      <c r="Y1360" s="34"/>
      <c r="Z1360" s="34"/>
      <c r="AA1360" s="35">
        <f>IF(TA[[#This Row],[Work Start time on Fault]]="NA","",(TA[[#This Row],[Fault Acknowledgement Time ]]-TA[[#This Row],[Fault Time]])*24)</f>
        <v>0</v>
      </c>
      <c r="AB1360" s="35">
        <f>(TA[[#This Row],[Work Start time on Fault]]-TA[[#This Row],[Fault Time]])*24</f>
        <v>0</v>
      </c>
      <c r="AC1360" s="34">
        <f>(TA[[#This Row],[Work Completion time on fault]]-TA[[#This Row],[Fault Time]])*24</f>
        <v>0</v>
      </c>
      <c r="AD1360" s="35">
        <f>IFERROR((TA[[#This Row],[Work Completion time on fault]]-TA[[#This Row],[Fault Time]])*24,"")</f>
        <v>0</v>
      </c>
      <c r="AE1360" t="s">
        <v>328</v>
      </c>
      <c r="AF1360" t="s">
        <v>256</v>
      </c>
      <c r="AG1360" s="2"/>
      <c r="AH1360" s="44">
        <f>1-COS(RADIANS(TA[[#This Row],[Avg. Target Angle during Fault Time (Radians)]]-TA[[#This Row],[Angle of affected equipment ]]))</f>
        <v>0.11705240714107301</v>
      </c>
      <c r="AI1360" s="35">
        <f>IFERROR(TA[[#This Row],[Breakdown Time]]*TA[[#This Row],[Plant Equivalent Weightage]],"")</f>
        <v>0</v>
      </c>
    </row>
    <row r="1361" spans="1:35">
      <c r="A1361" s="2">
        <f t="shared" si="151"/>
        <v>1358</v>
      </c>
      <c r="B1361" s="156">
        <f t="shared" si="158"/>
        <v>2026</v>
      </c>
      <c r="C1361" s="129">
        <f t="shared" si="159"/>
        <v>2025</v>
      </c>
      <c r="D1361" s="2" t="s">
        <v>155</v>
      </c>
      <c r="E1361" s="2" t="s">
        <v>155</v>
      </c>
      <c r="F1361" s="39">
        <v>45839</v>
      </c>
      <c r="G1361" s="2">
        <f>DAY(EOMONTH(TA[[#This Row],[Month Year]],0))</f>
        <v>31</v>
      </c>
      <c r="H1361" s="21">
        <v>45841</v>
      </c>
      <c r="I1361" s="41">
        <f>IFERROR(VLOOKUP(TA[[#This Row],[Date]],Raw_Data[[Date]:[Sunset Time (POA&lt;20 W/m2)]],3,0),"")</f>
        <v>0.25763888888888886</v>
      </c>
      <c r="J1361" s="41">
        <f>IFERROR(VLOOKUP(TA[[#This Row],[Date]],Raw_Data[[Date]:[Sunset Time (POA&lt;20 W/m2)]],4,0),"")</f>
        <v>0.77430555555555558</v>
      </c>
      <c r="K1361" s="35">
        <f>IFERROR((TA[[#This Row],[Sunset Time (POA&lt;20 W/m2)]]-TA[[#This Row],[Sunrise Time (POA&gt;20 W/m2)]])*24,"")</f>
        <v>12.400000000000002</v>
      </c>
      <c r="L1361" s="2" t="s">
        <v>294</v>
      </c>
      <c r="M1361" s="42">
        <f>IFERROR(VLOOKUP(TA[[#This Row],[Affected Equipment]],'Basic Data'!$I$2:$K$40,3,0),"")</f>
        <v>1.7241379310344799E-3</v>
      </c>
      <c r="N1361">
        <v>-28</v>
      </c>
      <c r="O1361" t="s">
        <v>133</v>
      </c>
      <c r="P1361" s="127" t="s">
        <v>316</v>
      </c>
      <c r="Q1361" s="126" t="s">
        <v>316</v>
      </c>
      <c r="R1361">
        <v>117</v>
      </c>
      <c r="S1361" s="2">
        <v>20</v>
      </c>
      <c r="T1361" t="s">
        <v>295</v>
      </c>
      <c r="U1361" t="s">
        <v>300</v>
      </c>
      <c r="V1361" t="s">
        <v>298</v>
      </c>
      <c r="W1361" s="41"/>
      <c r="X1361" s="41"/>
      <c r="Y1361" s="34"/>
      <c r="Z1361" s="34"/>
      <c r="AA1361" s="35">
        <f>IF(TA[[#This Row],[Work Start time on Fault]]="NA","",(TA[[#This Row],[Fault Acknowledgement Time ]]-TA[[#This Row],[Fault Time]])*24)</f>
        <v>0</v>
      </c>
      <c r="AB1361" s="35">
        <f>(TA[[#This Row],[Work Start time on Fault]]-TA[[#This Row],[Fault Time]])*24</f>
        <v>0</v>
      </c>
      <c r="AC1361" s="34">
        <f>(TA[[#This Row],[Work Completion time on fault]]-TA[[#This Row],[Fault Time]])*24</f>
        <v>0</v>
      </c>
      <c r="AD1361" s="35">
        <f>IFERROR((TA[[#This Row],[Work Completion time on fault]]-TA[[#This Row],[Fault Time]])*24,"")</f>
        <v>0</v>
      </c>
      <c r="AE1361" t="s">
        <v>328</v>
      </c>
      <c r="AF1361" t="s">
        <v>256</v>
      </c>
      <c r="AG1361" s="2"/>
      <c r="AH1361" s="44">
        <f>1-COS(RADIANS(TA[[#This Row],[Avg. Target Angle during Fault Time (Radians)]]-TA[[#This Row],[Angle of affected equipment ]]))</f>
        <v>0.11705240714107301</v>
      </c>
      <c r="AI1361" s="35">
        <f>IFERROR(TA[[#This Row],[Breakdown Time]]*TA[[#This Row],[Plant Equivalent Weightage]],"")</f>
        <v>0</v>
      </c>
    </row>
    <row r="1362" spans="1:35">
      <c r="A1362" s="2">
        <f t="shared" si="151"/>
        <v>1359</v>
      </c>
      <c r="B1362" s="156">
        <f t="shared" si="158"/>
        <v>2026</v>
      </c>
      <c r="C1362" s="129">
        <f t="shared" si="159"/>
        <v>2025</v>
      </c>
      <c r="D1362" s="2" t="s">
        <v>155</v>
      </c>
      <c r="E1362" s="2" t="s">
        <v>155</v>
      </c>
      <c r="F1362" s="39">
        <v>45839</v>
      </c>
      <c r="G1362" s="2">
        <f>DAY(EOMONTH(TA[[#This Row],[Month Year]],0))</f>
        <v>31</v>
      </c>
      <c r="H1362" s="21">
        <v>45841</v>
      </c>
      <c r="I1362" s="41">
        <f>IFERROR(VLOOKUP(TA[[#This Row],[Date]],Raw_Data[[Date]:[Sunset Time (POA&lt;20 W/m2)]],3,0),"")</f>
        <v>0.25763888888888886</v>
      </c>
      <c r="J1362" s="41">
        <f>IFERROR(VLOOKUP(TA[[#This Row],[Date]],Raw_Data[[Date]:[Sunset Time (POA&lt;20 W/m2)]],4,0),"")</f>
        <v>0.77430555555555558</v>
      </c>
      <c r="K1362" s="35">
        <f>IFERROR((TA[[#This Row],[Sunset Time (POA&lt;20 W/m2)]]-TA[[#This Row],[Sunrise Time (POA&gt;20 W/m2)]])*24,"")</f>
        <v>12.400000000000002</v>
      </c>
      <c r="L1362" s="2" t="s">
        <v>294</v>
      </c>
      <c r="M1362" s="42">
        <f>IFERROR(VLOOKUP(TA[[#This Row],[Affected Equipment]],'Basic Data'!$I$2:$K$40,3,0),"")</f>
        <v>1.7241379310344799E-3</v>
      </c>
      <c r="N1362">
        <v>-28</v>
      </c>
      <c r="O1362" t="s">
        <v>133</v>
      </c>
      <c r="P1362" s="127" t="s">
        <v>316</v>
      </c>
      <c r="Q1362" s="126" t="s">
        <v>316</v>
      </c>
      <c r="R1362">
        <v>118</v>
      </c>
      <c r="S1362" s="2">
        <v>22</v>
      </c>
      <c r="T1362" t="s">
        <v>295</v>
      </c>
      <c r="U1362" t="s">
        <v>300</v>
      </c>
      <c r="V1362" t="s">
        <v>298</v>
      </c>
      <c r="W1362" s="41"/>
      <c r="X1362" s="41"/>
      <c r="Y1362" s="34"/>
      <c r="Z1362" s="34"/>
      <c r="AA1362" s="35">
        <f>IF(TA[[#This Row],[Work Start time on Fault]]="NA","",(TA[[#This Row],[Fault Acknowledgement Time ]]-TA[[#This Row],[Fault Time]])*24)</f>
        <v>0</v>
      </c>
      <c r="AB1362" s="35">
        <f>(TA[[#This Row],[Work Start time on Fault]]-TA[[#This Row],[Fault Time]])*24</f>
        <v>0</v>
      </c>
      <c r="AC1362" s="34">
        <f>(TA[[#This Row],[Work Completion time on fault]]-TA[[#This Row],[Fault Time]])*24</f>
        <v>0</v>
      </c>
      <c r="AD1362" s="35">
        <f>IFERROR((TA[[#This Row],[Work Completion time on fault]]-TA[[#This Row],[Fault Time]])*24,"")</f>
        <v>0</v>
      </c>
      <c r="AE1362" t="s">
        <v>328</v>
      </c>
      <c r="AF1362" t="s">
        <v>256</v>
      </c>
      <c r="AG1362" s="2"/>
      <c r="AH1362" s="44">
        <f>1-COS(RADIANS(TA[[#This Row],[Avg. Target Angle during Fault Time (Radians)]]-TA[[#This Row],[Angle of affected equipment ]]))</f>
        <v>0.11705240714107301</v>
      </c>
      <c r="AI1362" s="35">
        <f>IFERROR(TA[[#This Row],[Breakdown Time]]*TA[[#This Row],[Plant Equivalent Weightage]],"")</f>
        <v>0</v>
      </c>
    </row>
    <row r="1363" spans="1:35">
      <c r="A1363" s="2">
        <f t="shared" si="151"/>
        <v>1360</v>
      </c>
      <c r="B1363" s="156">
        <f t="shared" si="158"/>
        <v>2026</v>
      </c>
      <c r="C1363" s="129">
        <f t="shared" si="159"/>
        <v>2025</v>
      </c>
      <c r="D1363" s="2" t="s">
        <v>155</v>
      </c>
      <c r="E1363" s="2" t="s">
        <v>155</v>
      </c>
      <c r="F1363" s="39">
        <v>45839</v>
      </c>
      <c r="G1363" s="2">
        <f>DAY(EOMONTH(TA[[#This Row],[Month Year]],0))</f>
        <v>31</v>
      </c>
      <c r="H1363" s="21">
        <v>45841</v>
      </c>
      <c r="I1363" s="41">
        <f>IFERROR(VLOOKUP(TA[[#This Row],[Date]],Raw_Data[[Date]:[Sunset Time (POA&lt;20 W/m2)]],3,0),"")</f>
        <v>0.25763888888888886</v>
      </c>
      <c r="J1363" s="41">
        <f>IFERROR(VLOOKUP(TA[[#This Row],[Date]],Raw_Data[[Date]:[Sunset Time (POA&lt;20 W/m2)]],4,0),"")</f>
        <v>0.77430555555555558</v>
      </c>
      <c r="K1363" s="35">
        <f>IFERROR((TA[[#This Row],[Sunset Time (POA&lt;20 W/m2)]]-TA[[#This Row],[Sunrise Time (POA&gt;20 W/m2)]])*24,"")</f>
        <v>12.400000000000002</v>
      </c>
      <c r="L1363" s="2" t="s">
        <v>296</v>
      </c>
      <c r="M1363" s="42">
        <f>IFERROR(VLOOKUP(TA[[#This Row],[Affected Equipment]],'Basic Data'!$I$2:$K$40,3,0),"")</f>
        <v>8.6206896551724102E-3</v>
      </c>
      <c r="N1363">
        <v>-28</v>
      </c>
      <c r="O1363" t="s">
        <v>135</v>
      </c>
      <c r="P1363" s="22" t="s">
        <v>323</v>
      </c>
      <c r="Q1363" s="2" t="s">
        <v>329</v>
      </c>
      <c r="R1363">
        <v>45</v>
      </c>
      <c r="S1363" s="2">
        <v>8</v>
      </c>
      <c r="T1363" t="s">
        <v>297</v>
      </c>
      <c r="U1363" t="s">
        <v>300</v>
      </c>
      <c r="V1363" t="s">
        <v>301</v>
      </c>
      <c r="W1363" s="41"/>
      <c r="X1363" s="41"/>
      <c r="Y1363" s="34"/>
      <c r="Z1363" s="34"/>
      <c r="AA1363" s="35">
        <f>IF(TA[[#This Row],[Work Start time on Fault]]="NA","",(TA[[#This Row],[Fault Acknowledgement Time ]]-TA[[#This Row],[Fault Time]])*24)</f>
        <v>0</v>
      </c>
      <c r="AB1363" s="35">
        <f>(TA[[#This Row],[Work Start time on Fault]]-TA[[#This Row],[Fault Time]])*24</f>
        <v>0</v>
      </c>
      <c r="AC1363" s="34">
        <f>(TA[[#This Row],[Work Completion time on fault]]-TA[[#This Row],[Fault Time]])*24</f>
        <v>0</v>
      </c>
      <c r="AD1363" s="35">
        <f>IFERROR((TA[[#This Row],[Work Completion time on fault]]-TA[[#This Row],[Fault Time]])*24,"")</f>
        <v>0</v>
      </c>
      <c r="AE1363" t="s">
        <v>328</v>
      </c>
      <c r="AF1363" t="s">
        <v>256</v>
      </c>
      <c r="AG1363" s="2"/>
      <c r="AH1363" s="44">
        <f>1-COS(RADIANS(TA[[#This Row],[Avg. Target Angle during Fault Time (Radians)]]-TA[[#This Row],[Angle of affected equipment ]]))</f>
        <v>0.11705240714107301</v>
      </c>
      <c r="AI1363" s="35">
        <f>IFERROR(TA[[#This Row],[Breakdown Time]]*TA[[#This Row],[Plant Equivalent Weightage]],"")</f>
        <v>0</v>
      </c>
    </row>
    <row r="1364" spans="1:35">
      <c r="A1364" s="2">
        <f t="shared" si="151"/>
        <v>1361</v>
      </c>
      <c r="B1364" s="156">
        <f t="shared" si="158"/>
        <v>2026</v>
      </c>
      <c r="C1364" s="129">
        <f t="shared" si="159"/>
        <v>2025</v>
      </c>
      <c r="D1364" s="2" t="s">
        <v>155</v>
      </c>
      <c r="E1364" s="2" t="s">
        <v>155</v>
      </c>
      <c r="F1364" s="39">
        <v>45839</v>
      </c>
      <c r="G1364" s="2">
        <f>DAY(EOMONTH(TA[[#This Row],[Month Year]],0))</f>
        <v>31</v>
      </c>
      <c r="H1364" s="21">
        <v>45841</v>
      </c>
      <c r="I1364" s="41">
        <f>IFERROR(VLOOKUP(TA[[#This Row],[Date]],Raw_Data[[Date]:[Sunset Time (POA&lt;20 W/m2)]],3,0),"")</f>
        <v>0.25763888888888886</v>
      </c>
      <c r="J1364" s="41">
        <f>IFERROR(VLOOKUP(TA[[#This Row],[Date]],Raw_Data[[Date]:[Sunset Time (POA&lt;20 W/m2)]],4,0),"")</f>
        <v>0.77430555555555558</v>
      </c>
      <c r="K1364" s="35">
        <f>IFERROR((TA[[#This Row],[Sunset Time (POA&lt;20 W/m2)]]-TA[[#This Row],[Sunrise Time (POA&gt;20 W/m2)]])*24,"")</f>
        <v>12.400000000000002</v>
      </c>
      <c r="L1364" s="2" t="s">
        <v>296</v>
      </c>
      <c r="M1364" s="42">
        <f>IFERROR(VLOOKUP(TA[[#This Row],[Affected Equipment]],'Basic Data'!$I$2:$K$40,3,0),"")</f>
        <v>8.6206896551724102E-3</v>
      </c>
      <c r="N1364">
        <v>-28</v>
      </c>
      <c r="O1364" t="s">
        <v>135</v>
      </c>
      <c r="P1364" s="22" t="s">
        <v>323</v>
      </c>
      <c r="Q1364" s="2" t="s">
        <v>329</v>
      </c>
      <c r="R1364">
        <v>47</v>
      </c>
      <c r="S1364" s="2">
        <v>18</v>
      </c>
      <c r="T1364" t="s">
        <v>297</v>
      </c>
      <c r="U1364" t="s">
        <v>300</v>
      </c>
      <c r="V1364" t="s">
        <v>301</v>
      </c>
      <c r="W1364" s="41"/>
      <c r="X1364" s="41"/>
      <c r="Y1364" s="34"/>
      <c r="Z1364" s="34"/>
      <c r="AA1364" s="35">
        <f>IF(TA[[#This Row],[Work Start time on Fault]]="NA","",(TA[[#This Row],[Fault Acknowledgement Time ]]-TA[[#This Row],[Fault Time]])*24)</f>
        <v>0</v>
      </c>
      <c r="AB1364" s="35">
        <f>(TA[[#This Row],[Work Start time on Fault]]-TA[[#This Row],[Fault Time]])*24</f>
        <v>0</v>
      </c>
      <c r="AC1364" s="34">
        <f>(TA[[#This Row],[Work Completion time on fault]]-TA[[#This Row],[Fault Time]])*24</f>
        <v>0</v>
      </c>
      <c r="AD1364" s="35">
        <f>IFERROR((TA[[#This Row],[Work Completion time on fault]]-TA[[#This Row],[Fault Time]])*24,"")</f>
        <v>0</v>
      </c>
      <c r="AE1364" t="s">
        <v>328</v>
      </c>
      <c r="AF1364" t="s">
        <v>256</v>
      </c>
      <c r="AG1364" s="2"/>
      <c r="AH1364" s="44">
        <f>1-COS(RADIANS(TA[[#This Row],[Avg. Target Angle during Fault Time (Radians)]]-TA[[#This Row],[Angle of affected equipment ]]))</f>
        <v>0.11705240714107301</v>
      </c>
      <c r="AI1364" s="35">
        <f>IFERROR(TA[[#This Row],[Breakdown Time]]*TA[[#This Row],[Plant Equivalent Weightage]],"")</f>
        <v>0</v>
      </c>
    </row>
    <row r="1365" spans="1:35">
      <c r="A1365" s="2">
        <f t="shared" si="151"/>
        <v>1362</v>
      </c>
      <c r="B1365" s="156">
        <f t="shared" si="158"/>
        <v>2026</v>
      </c>
      <c r="C1365" s="129">
        <f t="shared" si="159"/>
        <v>2025</v>
      </c>
      <c r="D1365" s="2" t="s">
        <v>155</v>
      </c>
      <c r="E1365" s="2" t="s">
        <v>155</v>
      </c>
      <c r="F1365" s="39">
        <v>45839</v>
      </c>
      <c r="G1365" s="2">
        <f>DAY(EOMONTH(TA[[#This Row],[Month Year]],0))</f>
        <v>31</v>
      </c>
      <c r="H1365" s="21">
        <v>45841</v>
      </c>
      <c r="I1365" s="41">
        <f>IFERROR(VLOOKUP(TA[[#This Row],[Date]],Raw_Data[[Date]:[Sunset Time (POA&lt;20 W/m2)]],3,0),"")</f>
        <v>0.25763888888888886</v>
      </c>
      <c r="J1365" s="41">
        <f>IFERROR(VLOOKUP(TA[[#This Row],[Date]],Raw_Data[[Date]:[Sunset Time (POA&lt;20 W/m2)]],4,0),"")</f>
        <v>0.77430555555555558</v>
      </c>
      <c r="K1365" s="35">
        <f>IFERROR((TA[[#This Row],[Sunset Time (POA&lt;20 W/m2)]]-TA[[#This Row],[Sunrise Time (POA&gt;20 W/m2)]])*24,"")</f>
        <v>12.400000000000002</v>
      </c>
      <c r="L1365" s="2" t="s">
        <v>296</v>
      </c>
      <c r="M1365" s="42">
        <f>IFERROR(VLOOKUP(TA[[#This Row],[Affected Equipment]],'Basic Data'!$I$2:$K$40,3,0),"")</f>
        <v>8.6206896551724102E-3</v>
      </c>
      <c r="N1365">
        <v>-28</v>
      </c>
      <c r="O1365" t="s">
        <v>134</v>
      </c>
      <c r="P1365" s="22" t="s">
        <v>330</v>
      </c>
      <c r="Q1365" s="2" t="s">
        <v>323</v>
      </c>
      <c r="R1365">
        <v>30</v>
      </c>
      <c r="S1365" s="2">
        <v>57</v>
      </c>
      <c r="T1365" t="s">
        <v>297</v>
      </c>
      <c r="U1365" t="s">
        <v>300</v>
      </c>
      <c r="V1365" t="s">
        <v>301</v>
      </c>
      <c r="W1365" s="41"/>
      <c r="X1365" s="41"/>
      <c r="Y1365" s="34"/>
      <c r="Z1365" s="34"/>
      <c r="AA1365" s="35">
        <f>IF(TA[[#This Row],[Work Start time on Fault]]="NA","",(TA[[#This Row],[Fault Acknowledgement Time ]]-TA[[#This Row],[Fault Time]])*24)</f>
        <v>0</v>
      </c>
      <c r="AB1365" s="35">
        <f>(TA[[#This Row],[Work Start time on Fault]]-TA[[#This Row],[Fault Time]])*24</f>
        <v>0</v>
      </c>
      <c r="AC1365" s="34">
        <f>(TA[[#This Row],[Work Completion time on fault]]-TA[[#This Row],[Fault Time]])*24</f>
        <v>0</v>
      </c>
      <c r="AD1365" s="35">
        <f>IFERROR((TA[[#This Row],[Work Completion time on fault]]-TA[[#This Row],[Fault Time]])*24,"")</f>
        <v>0</v>
      </c>
      <c r="AE1365" t="s">
        <v>328</v>
      </c>
      <c r="AF1365" t="s">
        <v>256</v>
      </c>
      <c r="AG1365" s="2"/>
      <c r="AH1365" s="44">
        <f>1-COS(RADIANS(TA[[#This Row],[Avg. Target Angle during Fault Time (Radians)]]-TA[[#This Row],[Angle of affected equipment ]]))</f>
        <v>0.11705240714107301</v>
      </c>
      <c r="AI1365" s="35">
        <f>IFERROR(TA[[#This Row],[Breakdown Time]]*TA[[#This Row],[Plant Equivalent Weightage]],"")</f>
        <v>0</v>
      </c>
    </row>
    <row r="1366" spans="1:35">
      <c r="A1366" s="2">
        <f t="shared" si="151"/>
        <v>1363</v>
      </c>
      <c r="B1366" s="156">
        <f t="shared" si="158"/>
        <v>2026</v>
      </c>
      <c r="C1366" s="129">
        <f t="shared" si="159"/>
        <v>2025</v>
      </c>
      <c r="D1366" s="2" t="s">
        <v>155</v>
      </c>
      <c r="E1366" s="2" t="s">
        <v>155</v>
      </c>
      <c r="F1366" s="39">
        <v>45839</v>
      </c>
      <c r="G1366" s="2">
        <f>DAY(EOMONTH(TA[[#This Row],[Month Year]],0))</f>
        <v>31</v>
      </c>
      <c r="H1366" s="21">
        <v>45841</v>
      </c>
      <c r="I1366" s="41">
        <f>IFERROR(VLOOKUP(TA[[#This Row],[Date]],Raw_Data[[Date]:[Sunset Time (POA&lt;20 W/m2)]],3,0),"")</f>
        <v>0.25763888888888886</v>
      </c>
      <c r="J1366" s="41">
        <f>IFERROR(VLOOKUP(TA[[#This Row],[Date]],Raw_Data[[Date]:[Sunset Time (POA&lt;20 W/m2)]],4,0),"")</f>
        <v>0.77430555555555558</v>
      </c>
      <c r="K1366" s="35">
        <f>IFERROR((TA[[#This Row],[Sunset Time (POA&lt;20 W/m2)]]-TA[[#This Row],[Sunrise Time (POA&gt;20 W/m2)]])*24,"")</f>
        <v>12.400000000000002</v>
      </c>
      <c r="L1366" s="2" t="s">
        <v>296</v>
      </c>
      <c r="M1366" s="42">
        <f>IFERROR(VLOOKUP(TA[[#This Row],[Affected Equipment]],'Basic Data'!$I$2:$K$40,3,0),"")</f>
        <v>8.6206896551724102E-3</v>
      </c>
      <c r="N1366">
        <v>-28</v>
      </c>
      <c r="O1366" t="s">
        <v>134</v>
      </c>
      <c r="P1366" s="22" t="s">
        <v>330</v>
      </c>
      <c r="Q1366" s="2" t="s">
        <v>323</v>
      </c>
      <c r="R1366">
        <v>31</v>
      </c>
      <c r="S1366" s="2">
        <v>61</v>
      </c>
      <c r="T1366" t="s">
        <v>297</v>
      </c>
      <c r="U1366" t="s">
        <v>300</v>
      </c>
      <c r="V1366" t="s">
        <v>301</v>
      </c>
      <c r="W1366" s="41"/>
      <c r="X1366" s="41"/>
      <c r="Y1366" s="34"/>
      <c r="Z1366" s="34"/>
      <c r="AA1366" s="35">
        <f>IF(TA[[#This Row],[Work Start time on Fault]]="NA","",(TA[[#This Row],[Fault Acknowledgement Time ]]-TA[[#This Row],[Fault Time]])*24)</f>
        <v>0</v>
      </c>
      <c r="AB1366" s="35">
        <f>(TA[[#This Row],[Work Start time on Fault]]-TA[[#This Row],[Fault Time]])*24</f>
        <v>0</v>
      </c>
      <c r="AC1366" s="34">
        <f>(TA[[#This Row],[Work Completion time on fault]]-TA[[#This Row],[Fault Time]])*24</f>
        <v>0</v>
      </c>
      <c r="AD1366" s="35">
        <f>IFERROR((TA[[#This Row],[Work Completion time on fault]]-TA[[#This Row],[Fault Time]])*24,"")</f>
        <v>0</v>
      </c>
      <c r="AE1366" t="s">
        <v>328</v>
      </c>
      <c r="AF1366" t="s">
        <v>256</v>
      </c>
      <c r="AG1366" s="2"/>
      <c r="AH1366" s="44">
        <f>1-COS(RADIANS(TA[[#This Row],[Avg. Target Angle during Fault Time (Radians)]]-TA[[#This Row],[Angle of affected equipment ]]))</f>
        <v>0.11705240714107301</v>
      </c>
      <c r="AI1366" s="35">
        <f>IFERROR(TA[[#This Row],[Breakdown Time]]*TA[[#This Row],[Plant Equivalent Weightage]],"")</f>
        <v>0</v>
      </c>
    </row>
    <row r="1367" spans="1:35">
      <c r="A1367" s="2">
        <f t="shared" si="151"/>
        <v>1364</v>
      </c>
      <c r="B1367" s="156">
        <f t="shared" si="158"/>
        <v>2026</v>
      </c>
      <c r="C1367" s="129">
        <f t="shared" si="159"/>
        <v>2025</v>
      </c>
      <c r="D1367" s="2" t="s">
        <v>155</v>
      </c>
      <c r="E1367" s="2" t="s">
        <v>155</v>
      </c>
      <c r="F1367" s="39">
        <v>45839</v>
      </c>
      <c r="G1367" s="2">
        <f>DAY(EOMONTH(TA[[#This Row],[Month Year]],0))</f>
        <v>31</v>
      </c>
      <c r="H1367" s="21">
        <v>45841</v>
      </c>
      <c r="I1367" s="41">
        <f>IFERROR(VLOOKUP(TA[[#This Row],[Date]],Raw_Data[[Date]:[Sunset Time (POA&lt;20 W/m2)]],3,0),"")</f>
        <v>0.25763888888888886</v>
      </c>
      <c r="J1367" s="41">
        <f>IFERROR(VLOOKUP(TA[[#This Row],[Date]],Raw_Data[[Date]:[Sunset Time (POA&lt;20 W/m2)]],4,0),"")</f>
        <v>0.77430555555555558</v>
      </c>
      <c r="K1367" s="35">
        <f>IFERROR((TA[[#This Row],[Sunset Time (POA&lt;20 W/m2)]]-TA[[#This Row],[Sunrise Time (POA&gt;20 W/m2)]])*24,"")</f>
        <v>12.400000000000002</v>
      </c>
      <c r="L1367" s="2" t="s">
        <v>312</v>
      </c>
      <c r="M1367" s="42">
        <f>IFERROR(VLOOKUP(TA[[#This Row],[Affected Equipment]],'Basic Data'!$I$2:$K$40,3,0),"")</f>
        <v>5.74712643678161E-3</v>
      </c>
      <c r="N1367">
        <v>-28</v>
      </c>
      <c r="O1367" t="s">
        <v>133</v>
      </c>
      <c r="P1367" s="22" t="s">
        <v>330</v>
      </c>
      <c r="Q1367" s="2" t="s">
        <v>323</v>
      </c>
      <c r="R1367">
        <v>26</v>
      </c>
      <c r="S1367" s="2">
        <v>37</v>
      </c>
      <c r="T1367" t="s">
        <v>297</v>
      </c>
      <c r="U1367" t="s">
        <v>300</v>
      </c>
      <c r="V1367" t="s">
        <v>301</v>
      </c>
      <c r="W1367" s="41"/>
      <c r="X1367" s="41"/>
      <c r="Y1367" s="34"/>
      <c r="Z1367" s="34"/>
      <c r="AA1367" s="35">
        <f>IF(TA[[#This Row],[Work Start time on Fault]]="NA","",(TA[[#This Row],[Fault Acknowledgement Time ]]-TA[[#This Row],[Fault Time]])*24)</f>
        <v>0</v>
      </c>
      <c r="AB1367" s="35">
        <f>(TA[[#This Row],[Work Start time on Fault]]-TA[[#This Row],[Fault Time]])*24</f>
        <v>0</v>
      </c>
      <c r="AC1367" s="34">
        <f>(TA[[#This Row],[Work Completion time on fault]]-TA[[#This Row],[Fault Time]])*24</f>
        <v>0</v>
      </c>
      <c r="AD1367" s="35">
        <f>IFERROR((TA[[#This Row],[Work Completion time on fault]]-TA[[#This Row],[Fault Time]])*24,"")</f>
        <v>0</v>
      </c>
      <c r="AE1367" t="s">
        <v>328</v>
      </c>
      <c r="AF1367" t="s">
        <v>256</v>
      </c>
      <c r="AG1367" s="2"/>
      <c r="AH1367" s="44">
        <f>1-COS(RADIANS(TA[[#This Row],[Avg. Target Angle during Fault Time (Radians)]]-TA[[#This Row],[Angle of affected equipment ]]))</f>
        <v>0.11705240714107301</v>
      </c>
      <c r="AI1367" s="35">
        <f>IFERROR(TA[[#This Row],[Breakdown Time]]*TA[[#This Row],[Plant Equivalent Weightage]],"")</f>
        <v>0</v>
      </c>
    </row>
    <row r="1368" spans="1:35">
      <c r="A1368" s="2">
        <f t="shared" si="151"/>
        <v>1365</v>
      </c>
      <c r="B1368" s="156">
        <f t="shared" si="158"/>
        <v>2026</v>
      </c>
      <c r="C1368" s="129">
        <f t="shared" si="159"/>
        <v>2025</v>
      </c>
      <c r="D1368" s="2" t="s">
        <v>155</v>
      </c>
      <c r="E1368" s="2" t="s">
        <v>155</v>
      </c>
      <c r="F1368" s="39">
        <v>45839</v>
      </c>
      <c r="G1368" s="2">
        <f>DAY(EOMONTH(TA[[#This Row],[Month Year]],0))</f>
        <v>31</v>
      </c>
      <c r="H1368" s="21">
        <v>45841</v>
      </c>
      <c r="I1368" s="41">
        <f>IFERROR(VLOOKUP(TA[[#This Row],[Date]],Raw_Data[[Date]:[Sunset Time (POA&lt;20 W/m2)]],3,0),"")</f>
        <v>0.25763888888888886</v>
      </c>
      <c r="J1368" s="41">
        <f>IFERROR(VLOOKUP(TA[[#This Row],[Date]],Raw_Data[[Date]:[Sunset Time (POA&lt;20 W/m2)]],4,0),"")</f>
        <v>0.77430555555555558</v>
      </c>
      <c r="K1368" s="35">
        <f>IFERROR((TA[[#This Row],[Sunset Time (POA&lt;20 W/m2)]]-TA[[#This Row],[Sunrise Time (POA&gt;20 W/m2)]])*24,"")</f>
        <v>12.400000000000002</v>
      </c>
      <c r="L1368" s="2" t="s">
        <v>312</v>
      </c>
      <c r="M1368" s="42">
        <f>IFERROR(VLOOKUP(TA[[#This Row],[Affected Equipment]],'Basic Data'!$I$2:$K$40,3,0),"")</f>
        <v>5.74712643678161E-3</v>
      </c>
      <c r="N1368">
        <v>-28</v>
      </c>
      <c r="O1368" t="s">
        <v>133</v>
      </c>
      <c r="P1368" s="22" t="s">
        <v>330</v>
      </c>
      <c r="Q1368" s="2" t="s">
        <v>323</v>
      </c>
      <c r="R1368">
        <v>27</v>
      </c>
      <c r="S1368" s="2">
        <v>42</v>
      </c>
      <c r="T1368" t="s">
        <v>297</v>
      </c>
      <c r="U1368" t="s">
        <v>300</v>
      </c>
      <c r="V1368" t="s">
        <v>301</v>
      </c>
      <c r="W1368" s="41">
        <f>IFERROR(VLOOKUP(TA[[#This Row],[Date]],Raw_Data[[Date]:[Sunset Time (POA&lt;20 W/m2)]],3,0),"")</f>
        <v>0.25763888888888886</v>
      </c>
      <c r="X1368" s="41">
        <f>IFERROR(VLOOKUP(TA[[#This Row],[Date]],Raw_Data[[Date]:[Sunset Time (POA&lt;20 W/m2)]],3,0),"")</f>
        <v>0.25763888888888886</v>
      </c>
      <c r="Y1368" s="34"/>
      <c r="Z1368" s="34">
        <v>0.76041666666666663</v>
      </c>
      <c r="AA1368" s="35">
        <f>IF(TA[[#This Row],[Work Start time on Fault]]="NA","",(TA[[#This Row],[Fault Acknowledgement Time ]]-TA[[#This Row],[Fault Time]])*24)</f>
        <v>0</v>
      </c>
      <c r="AB1368" s="35">
        <f>(TA[[#This Row],[Work Start time on Fault]]-TA[[#This Row],[Fault Time]])*24</f>
        <v>-6.1833333333333327</v>
      </c>
      <c r="AC1368" s="34">
        <f>(TA[[#This Row],[Work Completion time on fault]]-TA[[#This Row],[Fault Time]])*24</f>
        <v>12.066666666666666</v>
      </c>
      <c r="AD1368" s="35">
        <f>IFERROR((TA[[#This Row],[Work Completion time on fault]]-TA[[#This Row],[Fault Time]])*24,"")</f>
        <v>12.066666666666666</v>
      </c>
      <c r="AE1368" t="s">
        <v>309</v>
      </c>
      <c r="AF1368" t="s">
        <v>256</v>
      </c>
      <c r="AG1368" s="2"/>
      <c r="AH1368" s="44">
        <f>1-COS(RADIANS(TA[[#This Row],[Avg. Target Angle during Fault Time (Radians)]]-TA[[#This Row],[Angle of affected equipment ]]))</f>
        <v>0.11705240714107301</v>
      </c>
      <c r="AI1368" s="35">
        <f>IFERROR(TA[[#This Row],[Breakdown Time]]*TA[[#This Row],[Plant Equivalent Weightage]],"")</f>
        <v>6.9348659003831428E-2</v>
      </c>
    </row>
    <row r="1369" spans="1:35">
      <c r="A1369" s="2">
        <f t="shared" si="151"/>
        <v>1366</v>
      </c>
      <c r="B1369" s="156">
        <f t="shared" ref="B1369:B1381" si="160">YEAR(H1369)+IF(MONTH(H1369)&gt;=4,1,0)</f>
        <v>2026</v>
      </c>
      <c r="C1369" s="129">
        <f t="shared" ref="C1369:C1381" si="161">YEAR(H1369)</f>
        <v>2025</v>
      </c>
      <c r="D1369" s="2" t="s">
        <v>155</v>
      </c>
      <c r="E1369" s="2" t="s">
        <v>155</v>
      </c>
      <c r="F1369" s="39">
        <v>45839</v>
      </c>
      <c r="G1369" s="2">
        <f>DAY(EOMONTH(TA[[#This Row],[Month Year]],0))</f>
        <v>31</v>
      </c>
      <c r="H1369" s="21">
        <v>45842</v>
      </c>
      <c r="I1369" s="41">
        <f>IFERROR(VLOOKUP(TA[[#This Row],[Date]],Raw_Data[[Date]:[Sunset Time (POA&lt;20 W/m2)]],3,0),"")</f>
        <v>0.25347222222222221</v>
      </c>
      <c r="J1369" s="41">
        <f>IFERROR(VLOOKUP(TA[[#This Row],[Date]],Raw_Data[[Date]:[Sunset Time (POA&lt;20 W/m2)]],4,0),"")</f>
        <v>0.7729166666666667</v>
      </c>
      <c r="K1369" s="35">
        <f>IFERROR((TA[[#This Row],[Sunset Time (POA&lt;20 W/m2)]]-TA[[#This Row],[Sunrise Time (POA&gt;20 W/m2)]])*24,"")</f>
        <v>12.466666666666669</v>
      </c>
      <c r="L1369" s="2" t="s">
        <v>294</v>
      </c>
      <c r="M1369" s="42">
        <f>IFERROR(VLOOKUP(TA[[#This Row],[Affected Equipment]],'Basic Data'!$I$2:$K$40,3,0),"")</f>
        <v>1.7241379310344799E-3</v>
      </c>
      <c r="N1369">
        <v>-28</v>
      </c>
      <c r="O1369" t="s">
        <v>135</v>
      </c>
      <c r="P1369" s="127" t="s">
        <v>318</v>
      </c>
      <c r="Q1369" s="126" t="s">
        <v>318</v>
      </c>
      <c r="R1369">
        <v>131</v>
      </c>
      <c r="S1369" s="2">
        <v>38</v>
      </c>
      <c r="T1369" t="s">
        <v>295</v>
      </c>
      <c r="U1369" t="s">
        <v>300</v>
      </c>
      <c r="V1369" t="s">
        <v>298</v>
      </c>
      <c r="W1369" s="41"/>
      <c r="X1369" s="41"/>
      <c r="Y1369" s="34"/>
      <c r="Z1369" s="34"/>
      <c r="AA1369" s="35">
        <f>IF(TA[[#This Row],[Work Start time on Fault]]="NA","",(TA[[#This Row],[Fault Acknowledgement Time ]]-TA[[#This Row],[Fault Time]])*24)</f>
        <v>0</v>
      </c>
      <c r="AB1369" s="35">
        <f>(TA[[#This Row],[Work Start time on Fault]]-TA[[#This Row],[Fault Time]])*24</f>
        <v>0</v>
      </c>
      <c r="AC1369" s="34">
        <f>(TA[[#This Row],[Work Completion time on fault]]-TA[[#This Row],[Fault Time]])*24</f>
        <v>0</v>
      </c>
      <c r="AD1369" s="35">
        <f>IFERROR((TA[[#This Row],[Work Completion time on fault]]-TA[[#This Row],[Fault Time]])*24,"")</f>
        <v>0</v>
      </c>
      <c r="AE1369" t="s">
        <v>328</v>
      </c>
      <c r="AF1369" t="s">
        <v>256</v>
      </c>
      <c r="AG1369" s="2"/>
      <c r="AH1369" s="44">
        <f>1-COS(RADIANS(TA[[#This Row],[Avg. Target Angle during Fault Time (Radians)]]-TA[[#This Row],[Angle of affected equipment ]]))</f>
        <v>0.11705240714107301</v>
      </c>
      <c r="AI1369" s="35">
        <f>IFERROR(TA[[#This Row],[Breakdown Time]]*TA[[#This Row],[Plant Equivalent Weightage]],"")</f>
        <v>0</v>
      </c>
    </row>
    <row r="1370" spans="1:35">
      <c r="A1370" s="2">
        <f t="shared" si="151"/>
        <v>1367</v>
      </c>
      <c r="B1370" s="156">
        <f t="shared" si="160"/>
        <v>2026</v>
      </c>
      <c r="C1370" s="129">
        <f t="shared" si="161"/>
        <v>2025</v>
      </c>
      <c r="D1370" s="2" t="s">
        <v>155</v>
      </c>
      <c r="E1370" s="2" t="s">
        <v>155</v>
      </c>
      <c r="F1370" s="39">
        <v>45839</v>
      </c>
      <c r="G1370" s="2">
        <f>DAY(EOMONTH(TA[[#This Row],[Month Year]],0))</f>
        <v>31</v>
      </c>
      <c r="H1370" s="21">
        <v>45842</v>
      </c>
      <c r="I1370" s="41">
        <f>IFERROR(VLOOKUP(TA[[#This Row],[Date]],Raw_Data[[Date]:[Sunset Time (POA&lt;20 W/m2)]],3,0),"")</f>
        <v>0.25347222222222221</v>
      </c>
      <c r="J1370" s="41">
        <f>IFERROR(VLOOKUP(TA[[#This Row],[Date]],Raw_Data[[Date]:[Sunset Time (POA&lt;20 W/m2)]],4,0),"")</f>
        <v>0.7729166666666667</v>
      </c>
      <c r="K1370" s="35">
        <f>IFERROR((TA[[#This Row],[Sunset Time (POA&lt;20 W/m2)]]-TA[[#This Row],[Sunrise Time (POA&gt;20 W/m2)]])*24,"")</f>
        <v>12.466666666666669</v>
      </c>
      <c r="L1370" s="2" t="s">
        <v>294</v>
      </c>
      <c r="M1370" s="42">
        <f>IFERROR(VLOOKUP(TA[[#This Row],[Affected Equipment]],'Basic Data'!$I$2:$K$40,3,0),"")</f>
        <v>1.7241379310344799E-3</v>
      </c>
      <c r="N1370">
        <v>-28</v>
      </c>
      <c r="O1370" t="s">
        <v>135</v>
      </c>
      <c r="P1370" s="127" t="s">
        <v>318</v>
      </c>
      <c r="Q1370" s="126" t="s">
        <v>318</v>
      </c>
      <c r="R1370">
        <v>131</v>
      </c>
      <c r="S1370" s="2">
        <v>39</v>
      </c>
      <c r="T1370" t="s">
        <v>295</v>
      </c>
      <c r="U1370" t="s">
        <v>300</v>
      </c>
      <c r="V1370" t="s">
        <v>298</v>
      </c>
      <c r="W1370" s="41"/>
      <c r="X1370" s="41"/>
      <c r="Y1370" s="34"/>
      <c r="Z1370" s="34"/>
      <c r="AA1370" s="35">
        <f>IF(TA[[#This Row],[Work Start time on Fault]]="NA","",(TA[[#This Row],[Fault Acknowledgement Time ]]-TA[[#This Row],[Fault Time]])*24)</f>
        <v>0</v>
      </c>
      <c r="AB1370" s="35">
        <f>(TA[[#This Row],[Work Start time on Fault]]-TA[[#This Row],[Fault Time]])*24</f>
        <v>0</v>
      </c>
      <c r="AC1370" s="34">
        <f>(TA[[#This Row],[Work Completion time on fault]]-TA[[#This Row],[Fault Time]])*24</f>
        <v>0</v>
      </c>
      <c r="AD1370" s="35">
        <f>IFERROR((TA[[#This Row],[Work Completion time on fault]]-TA[[#This Row],[Fault Time]])*24,"")</f>
        <v>0</v>
      </c>
      <c r="AE1370" t="s">
        <v>328</v>
      </c>
      <c r="AF1370" t="s">
        <v>256</v>
      </c>
      <c r="AG1370" s="2"/>
      <c r="AH1370" s="44">
        <f>1-COS(RADIANS(TA[[#This Row],[Avg. Target Angle during Fault Time (Radians)]]-TA[[#This Row],[Angle of affected equipment ]]))</f>
        <v>0.11705240714107301</v>
      </c>
      <c r="AI1370" s="35">
        <f>IFERROR(TA[[#This Row],[Breakdown Time]]*TA[[#This Row],[Plant Equivalent Weightage]],"")</f>
        <v>0</v>
      </c>
    </row>
    <row r="1371" spans="1:35">
      <c r="A1371" s="2">
        <f t="shared" si="151"/>
        <v>1368</v>
      </c>
      <c r="B1371" s="156">
        <f t="shared" si="160"/>
        <v>2026</v>
      </c>
      <c r="C1371" s="129">
        <f t="shared" si="161"/>
        <v>2025</v>
      </c>
      <c r="D1371" s="2" t="s">
        <v>155</v>
      </c>
      <c r="E1371" s="2" t="s">
        <v>155</v>
      </c>
      <c r="F1371" s="39">
        <v>45839</v>
      </c>
      <c r="G1371" s="2">
        <f>DAY(EOMONTH(TA[[#This Row],[Month Year]],0))</f>
        <v>31</v>
      </c>
      <c r="H1371" s="21">
        <v>45842</v>
      </c>
      <c r="I1371" s="41">
        <f>IFERROR(VLOOKUP(TA[[#This Row],[Date]],Raw_Data[[Date]:[Sunset Time (POA&lt;20 W/m2)]],3,0),"")</f>
        <v>0.25347222222222221</v>
      </c>
      <c r="J1371" s="41">
        <f>IFERROR(VLOOKUP(TA[[#This Row],[Date]],Raw_Data[[Date]:[Sunset Time (POA&lt;20 W/m2)]],4,0),"")</f>
        <v>0.7729166666666667</v>
      </c>
      <c r="K1371" s="35">
        <f>IFERROR((TA[[#This Row],[Sunset Time (POA&lt;20 W/m2)]]-TA[[#This Row],[Sunrise Time (POA&gt;20 W/m2)]])*24,"")</f>
        <v>12.466666666666669</v>
      </c>
      <c r="L1371" s="2" t="s">
        <v>296</v>
      </c>
      <c r="M1371" s="42">
        <f>IFERROR(VLOOKUP(TA[[#This Row],[Affected Equipment]],'Basic Data'!$I$2:$K$40,3,0),"")</f>
        <v>8.6206896551724102E-3</v>
      </c>
      <c r="N1371">
        <v>-28</v>
      </c>
      <c r="O1371" t="s">
        <v>135</v>
      </c>
      <c r="P1371" s="127" t="s">
        <v>318</v>
      </c>
      <c r="Q1371" s="2" t="s">
        <v>321</v>
      </c>
      <c r="R1371">
        <v>133</v>
      </c>
      <c r="S1371" s="2">
        <v>26</v>
      </c>
      <c r="T1371" t="s">
        <v>297</v>
      </c>
      <c r="U1371" t="s">
        <v>300</v>
      </c>
      <c r="V1371" t="s">
        <v>314</v>
      </c>
      <c r="W1371" s="41">
        <f>IFERROR(VLOOKUP(TA[[#This Row],[Date]],Raw_Data[[Date]:[Sunset Time (POA&lt;20 W/m2)]],3,0),"")</f>
        <v>0.25347222222222221</v>
      </c>
      <c r="X1371" s="41">
        <f>IFERROR(VLOOKUP(TA[[#This Row],[Date]],Raw_Data[[Date]:[Sunset Time (POA&lt;20 W/m2)]],3,0),"")</f>
        <v>0.25347222222222221</v>
      </c>
      <c r="Y1371" s="34"/>
      <c r="Z1371" s="34">
        <v>0.76041666666666663</v>
      </c>
      <c r="AA1371" s="35">
        <f>IF(TA[[#This Row],[Work Start time on Fault]]="NA","",(TA[[#This Row],[Fault Acknowledgement Time ]]-TA[[#This Row],[Fault Time]])*24)</f>
        <v>0</v>
      </c>
      <c r="AB1371" s="35">
        <f>(TA[[#This Row],[Work Start time on Fault]]-TA[[#This Row],[Fault Time]])*24</f>
        <v>-6.083333333333333</v>
      </c>
      <c r="AC1371" s="34">
        <f>(TA[[#This Row],[Work Completion time on fault]]-TA[[#This Row],[Fault Time]])*24</f>
        <v>12.166666666666666</v>
      </c>
      <c r="AD1371" s="35">
        <f>IFERROR((TA[[#This Row],[Work Completion time on fault]]-TA[[#This Row],[Fault Time]])*24,"")</f>
        <v>12.166666666666666</v>
      </c>
      <c r="AE1371" t="s">
        <v>328</v>
      </c>
      <c r="AF1371" t="s">
        <v>256</v>
      </c>
      <c r="AG1371" s="2"/>
      <c r="AH1371" s="44">
        <f>1-COS(RADIANS(TA[[#This Row],[Avg. Target Angle during Fault Time (Radians)]]-TA[[#This Row],[Angle of affected equipment ]]))</f>
        <v>0.11705240714107301</v>
      </c>
      <c r="AI1371" s="35">
        <f>IFERROR(TA[[#This Row],[Breakdown Time]]*TA[[#This Row],[Plant Equivalent Weightage]],"")</f>
        <v>0.10488505747126432</v>
      </c>
    </row>
    <row r="1372" spans="1:35">
      <c r="A1372" s="2">
        <f t="shared" si="151"/>
        <v>1369</v>
      </c>
      <c r="B1372" s="156">
        <f t="shared" si="160"/>
        <v>2026</v>
      </c>
      <c r="C1372" s="129">
        <f t="shared" si="161"/>
        <v>2025</v>
      </c>
      <c r="D1372" s="2" t="s">
        <v>155</v>
      </c>
      <c r="E1372" s="2" t="s">
        <v>155</v>
      </c>
      <c r="F1372" s="39">
        <v>45839</v>
      </c>
      <c r="G1372" s="2">
        <f>DAY(EOMONTH(TA[[#This Row],[Month Year]],0))</f>
        <v>31</v>
      </c>
      <c r="H1372" s="21">
        <v>45842</v>
      </c>
      <c r="I1372" s="41">
        <f>IFERROR(VLOOKUP(TA[[#This Row],[Date]],Raw_Data[[Date]:[Sunset Time (POA&lt;20 W/m2)]],3,0),"")</f>
        <v>0.25347222222222221</v>
      </c>
      <c r="J1372" s="41">
        <f>IFERROR(VLOOKUP(TA[[#This Row],[Date]],Raw_Data[[Date]:[Sunset Time (POA&lt;20 W/m2)]],4,0),"")</f>
        <v>0.7729166666666667</v>
      </c>
      <c r="K1372" s="35">
        <f>IFERROR((TA[[#This Row],[Sunset Time (POA&lt;20 W/m2)]]-TA[[#This Row],[Sunrise Time (POA&gt;20 W/m2)]])*24,"")</f>
        <v>12.466666666666669</v>
      </c>
      <c r="L1372" s="2" t="s">
        <v>294</v>
      </c>
      <c r="M1372" s="42">
        <f>IFERROR(VLOOKUP(TA[[#This Row],[Affected Equipment]],'Basic Data'!$I$2:$K$40,3,0),"")</f>
        <v>1.7241379310344799E-3</v>
      </c>
      <c r="N1372">
        <v>-28</v>
      </c>
      <c r="O1372" t="s">
        <v>133</v>
      </c>
      <c r="P1372" s="127" t="s">
        <v>316</v>
      </c>
      <c r="Q1372" s="126" t="s">
        <v>317</v>
      </c>
      <c r="R1372">
        <v>7</v>
      </c>
      <c r="S1372" s="2">
        <v>32</v>
      </c>
      <c r="T1372" t="s">
        <v>295</v>
      </c>
      <c r="U1372" t="s">
        <v>300</v>
      </c>
      <c r="V1372" t="s">
        <v>298</v>
      </c>
      <c r="W1372" s="41"/>
      <c r="X1372" s="41"/>
      <c r="Y1372" s="34"/>
      <c r="Z1372" s="34"/>
      <c r="AA1372" s="35">
        <f>IF(TA[[#This Row],[Work Start time on Fault]]="NA","",(TA[[#This Row],[Fault Acknowledgement Time ]]-TA[[#This Row],[Fault Time]])*24)</f>
        <v>0</v>
      </c>
      <c r="AB1372" s="35">
        <f>(TA[[#This Row],[Work Start time on Fault]]-TA[[#This Row],[Fault Time]])*24</f>
        <v>0</v>
      </c>
      <c r="AC1372" s="34">
        <f>(TA[[#This Row],[Work Completion time on fault]]-TA[[#This Row],[Fault Time]])*24</f>
        <v>0</v>
      </c>
      <c r="AD1372" s="35">
        <f>IFERROR((TA[[#This Row],[Work Completion time on fault]]-TA[[#This Row],[Fault Time]])*24,"")</f>
        <v>0</v>
      </c>
      <c r="AE1372" t="s">
        <v>328</v>
      </c>
      <c r="AF1372" t="s">
        <v>256</v>
      </c>
      <c r="AG1372" s="2"/>
      <c r="AH1372" s="44">
        <f>1-COS(RADIANS(TA[[#This Row],[Avg. Target Angle during Fault Time (Radians)]]-TA[[#This Row],[Angle of affected equipment ]]))</f>
        <v>0.11705240714107301</v>
      </c>
      <c r="AI1372" s="35">
        <f>IFERROR(TA[[#This Row],[Breakdown Time]]*TA[[#This Row],[Plant Equivalent Weightage]],"")</f>
        <v>0</v>
      </c>
    </row>
    <row r="1373" spans="1:35">
      <c r="A1373" s="2">
        <f t="shared" si="151"/>
        <v>1370</v>
      </c>
      <c r="B1373" s="156">
        <f t="shared" si="160"/>
        <v>2026</v>
      </c>
      <c r="C1373" s="129">
        <f t="shared" si="161"/>
        <v>2025</v>
      </c>
      <c r="D1373" s="2" t="s">
        <v>155</v>
      </c>
      <c r="E1373" s="2" t="s">
        <v>155</v>
      </c>
      <c r="F1373" s="39">
        <v>45839</v>
      </c>
      <c r="G1373" s="2">
        <f>DAY(EOMONTH(TA[[#This Row],[Month Year]],0))</f>
        <v>31</v>
      </c>
      <c r="H1373" s="21">
        <v>45842</v>
      </c>
      <c r="I1373" s="41">
        <f>IFERROR(VLOOKUP(TA[[#This Row],[Date]],Raw_Data[[Date]:[Sunset Time (POA&lt;20 W/m2)]],3,0),"")</f>
        <v>0.25347222222222221</v>
      </c>
      <c r="J1373" s="41">
        <f>IFERROR(VLOOKUP(TA[[#This Row],[Date]],Raw_Data[[Date]:[Sunset Time (POA&lt;20 W/m2)]],4,0),"")</f>
        <v>0.7729166666666667</v>
      </c>
      <c r="K1373" s="35">
        <f>IFERROR((TA[[#This Row],[Sunset Time (POA&lt;20 W/m2)]]-TA[[#This Row],[Sunrise Time (POA&gt;20 W/m2)]])*24,"")</f>
        <v>12.466666666666669</v>
      </c>
      <c r="L1373" s="2" t="s">
        <v>294</v>
      </c>
      <c r="M1373" s="42">
        <f>IFERROR(VLOOKUP(TA[[#This Row],[Affected Equipment]],'Basic Data'!$I$2:$K$40,3,0),"")</f>
        <v>1.7241379310344799E-3</v>
      </c>
      <c r="N1373">
        <v>-28</v>
      </c>
      <c r="O1373" t="s">
        <v>137</v>
      </c>
      <c r="P1373" s="127" t="s">
        <v>315</v>
      </c>
      <c r="Q1373" s="126" t="s">
        <v>319</v>
      </c>
      <c r="R1373">
        <v>166</v>
      </c>
      <c r="S1373" s="2">
        <v>91</v>
      </c>
      <c r="T1373" t="s">
        <v>295</v>
      </c>
      <c r="U1373" t="s">
        <v>300</v>
      </c>
      <c r="V1373" t="s">
        <v>298</v>
      </c>
      <c r="W1373" s="41"/>
      <c r="X1373" s="41"/>
      <c r="Y1373" s="34"/>
      <c r="Z1373" s="34"/>
      <c r="AA1373" s="35">
        <f>IF(TA[[#This Row],[Work Start time on Fault]]="NA","",(TA[[#This Row],[Fault Acknowledgement Time ]]-TA[[#This Row],[Fault Time]])*24)</f>
        <v>0</v>
      </c>
      <c r="AB1373" s="35">
        <f>(TA[[#This Row],[Work Start time on Fault]]-TA[[#This Row],[Fault Time]])*24</f>
        <v>0</v>
      </c>
      <c r="AC1373" s="34">
        <f>(TA[[#This Row],[Work Completion time on fault]]-TA[[#This Row],[Fault Time]])*24</f>
        <v>0</v>
      </c>
      <c r="AD1373" s="35">
        <f>IFERROR((TA[[#This Row],[Work Completion time on fault]]-TA[[#This Row],[Fault Time]])*24,"")</f>
        <v>0</v>
      </c>
      <c r="AE1373" t="s">
        <v>328</v>
      </c>
      <c r="AF1373" t="s">
        <v>256</v>
      </c>
      <c r="AG1373" s="2"/>
      <c r="AH1373" s="44">
        <f>1-COS(RADIANS(TA[[#This Row],[Avg. Target Angle during Fault Time (Radians)]]-TA[[#This Row],[Angle of affected equipment ]]))</f>
        <v>0.11705240714107301</v>
      </c>
      <c r="AI1373" s="35">
        <f>IFERROR(TA[[#This Row],[Breakdown Time]]*TA[[#This Row],[Plant Equivalent Weightage]],"")</f>
        <v>0</v>
      </c>
    </row>
    <row r="1374" spans="1:35">
      <c r="A1374" s="2">
        <f t="shared" si="151"/>
        <v>1371</v>
      </c>
      <c r="B1374" s="156">
        <f t="shared" si="160"/>
        <v>2026</v>
      </c>
      <c r="C1374" s="129">
        <f t="shared" si="161"/>
        <v>2025</v>
      </c>
      <c r="D1374" s="2" t="s">
        <v>155</v>
      </c>
      <c r="E1374" s="2" t="s">
        <v>155</v>
      </c>
      <c r="F1374" s="39">
        <v>45839</v>
      </c>
      <c r="G1374" s="2">
        <f>DAY(EOMONTH(TA[[#This Row],[Month Year]],0))</f>
        <v>31</v>
      </c>
      <c r="H1374" s="21">
        <v>45842</v>
      </c>
      <c r="I1374" s="41">
        <f>IFERROR(VLOOKUP(TA[[#This Row],[Date]],Raw_Data[[Date]:[Sunset Time (POA&lt;20 W/m2)]],3,0),"")</f>
        <v>0.25347222222222221</v>
      </c>
      <c r="J1374" s="41">
        <f>IFERROR(VLOOKUP(TA[[#This Row],[Date]],Raw_Data[[Date]:[Sunset Time (POA&lt;20 W/m2)]],4,0),"")</f>
        <v>0.7729166666666667</v>
      </c>
      <c r="K1374" s="35">
        <f>IFERROR((TA[[#This Row],[Sunset Time (POA&lt;20 W/m2)]]-TA[[#This Row],[Sunrise Time (POA&gt;20 W/m2)]])*24,"")</f>
        <v>12.466666666666669</v>
      </c>
      <c r="L1374" s="2" t="s">
        <v>294</v>
      </c>
      <c r="M1374" s="42">
        <f>IFERROR(VLOOKUP(TA[[#This Row],[Affected Equipment]],'Basic Data'!$I$2:$K$40,3,0),"")</f>
        <v>1.7241379310344799E-3</v>
      </c>
      <c r="N1374">
        <v>-28</v>
      </c>
      <c r="O1374" t="s">
        <v>133</v>
      </c>
      <c r="P1374" s="127" t="s">
        <v>316</v>
      </c>
      <c r="Q1374" s="126" t="s">
        <v>316</v>
      </c>
      <c r="R1374">
        <v>117</v>
      </c>
      <c r="S1374" s="2">
        <v>20</v>
      </c>
      <c r="T1374" t="s">
        <v>295</v>
      </c>
      <c r="U1374" t="s">
        <v>300</v>
      </c>
      <c r="V1374" t="s">
        <v>298</v>
      </c>
      <c r="W1374" s="41"/>
      <c r="X1374" s="41"/>
      <c r="Y1374" s="34"/>
      <c r="Z1374" s="34"/>
      <c r="AA1374" s="35">
        <f>IF(TA[[#This Row],[Work Start time on Fault]]="NA","",(TA[[#This Row],[Fault Acknowledgement Time ]]-TA[[#This Row],[Fault Time]])*24)</f>
        <v>0</v>
      </c>
      <c r="AB1374" s="35">
        <f>(TA[[#This Row],[Work Start time on Fault]]-TA[[#This Row],[Fault Time]])*24</f>
        <v>0</v>
      </c>
      <c r="AC1374" s="34">
        <f>(TA[[#This Row],[Work Completion time on fault]]-TA[[#This Row],[Fault Time]])*24</f>
        <v>0</v>
      </c>
      <c r="AD1374" s="35">
        <f>IFERROR((TA[[#This Row],[Work Completion time on fault]]-TA[[#This Row],[Fault Time]])*24,"")</f>
        <v>0</v>
      </c>
      <c r="AE1374" t="s">
        <v>328</v>
      </c>
      <c r="AF1374" t="s">
        <v>256</v>
      </c>
      <c r="AG1374" s="2"/>
      <c r="AH1374" s="44">
        <f>1-COS(RADIANS(TA[[#This Row],[Avg. Target Angle during Fault Time (Radians)]]-TA[[#This Row],[Angle of affected equipment ]]))</f>
        <v>0.11705240714107301</v>
      </c>
      <c r="AI1374" s="35">
        <f>IFERROR(TA[[#This Row],[Breakdown Time]]*TA[[#This Row],[Plant Equivalent Weightage]],"")</f>
        <v>0</v>
      </c>
    </row>
    <row r="1375" spans="1:35">
      <c r="A1375" s="2">
        <f t="shared" si="151"/>
        <v>1372</v>
      </c>
      <c r="B1375" s="156">
        <f t="shared" si="160"/>
        <v>2026</v>
      </c>
      <c r="C1375" s="129">
        <f t="shared" si="161"/>
        <v>2025</v>
      </c>
      <c r="D1375" s="2" t="s">
        <v>155</v>
      </c>
      <c r="E1375" s="2" t="s">
        <v>155</v>
      </c>
      <c r="F1375" s="39">
        <v>45839</v>
      </c>
      <c r="G1375" s="2">
        <f>DAY(EOMONTH(TA[[#This Row],[Month Year]],0))</f>
        <v>31</v>
      </c>
      <c r="H1375" s="21">
        <v>45842</v>
      </c>
      <c r="I1375" s="41">
        <f>IFERROR(VLOOKUP(TA[[#This Row],[Date]],Raw_Data[[Date]:[Sunset Time (POA&lt;20 W/m2)]],3,0),"")</f>
        <v>0.25347222222222221</v>
      </c>
      <c r="J1375" s="41">
        <f>IFERROR(VLOOKUP(TA[[#This Row],[Date]],Raw_Data[[Date]:[Sunset Time (POA&lt;20 W/m2)]],4,0),"")</f>
        <v>0.7729166666666667</v>
      </c>
      <c r="K1375" s="35">
        <f>IFERROR((TA[[#This Row],[Sunset Time (POA&lt;20 W/m2)]]-TA[[#This Row],[Sunrise Time (POA&gt;20 W/m2)]])*24,"")</f>
        <v>12.466666666666669</v>
      </c>
      <c r="L1375" s="2" t="s">
        <v>294</v>
      </c>
      <c r="M1375" s="42">
        <f>IFERROR(VLOOKUP(TA[[#This Row],[Affected Equipment]],'Basic Data'!$I$2:$K$40,3,0),"")</f>
        <v>1.7241379310344799E-3</v>
      </c>
      <c r="N1375">
        <v>-28</v>
      </c>
      <c r="O1375" t="s">
        <v>133</v>
      </c>
      <c r="P1375" s="127" t="s">
        <v>316</v>
      </c>
      <c r="Q1375" s="126" t="s">
        <v>316</v>
      </c>
      <c r="R1375">
        <v>118</v>
      </c>
      <c r="S1375" s="2">
        <v>22</v>
      </c>
      <c r="T1375" t="s">
        <v>295</v>
      </c>
      <c r="U1375" t="s">
        <v>300</v>
      </c>
      <c r="V1375" t="s">
        <v>298</v>
      </c>
      <c r="W1375" s="41"/>
      <c r="X1375" s="41"/>
      <c r="Y1375" s="34"/>
      <c r="Z1375" s="34"/>
      <c r="AA1375" s="35">
        <f>IF(TA[[#This Row],[Work Start time on Fault]]="NA","",(TA[[#This Row],[Fault Acknowledgement Time ]]-TA[[#This Row],[Fault Time]])*24)</f>
        <v>0</v>
      </c>
      <c r="AB1375" s="35">
        <f>(TA[[#This Row],[Work Start time on Fault]]-TA[[#This Row],[Fault Time]])*24</f>
        <v>0</v>
      </c>
      <c r="AC1375" s="34">
        <f>(TA[[#This Row],[Work Completion time on fault]]-TA[[#This Row],[Fault Time]])*24</f>
        <v>0</v>
      </c>
      <c r="AD1375" s="35">
        <f>IFERROR((TA[[#This Row],[Work Completion time on fault]]-TA[[#This Row],[Fault Time]])*24,"")</f>
        <v>0</v>
      </c>
      <c r="AE1375" t="s">
        <v>328</v>
      </c>
      <c r="AF1375" t="s">
        <v>256</v>
      </c>
      <c r="AG1375" s="2"/>
      <c r="AH1375" s="44">
        <f>1-COS(RADIANS(TA[[#This Row],[Avg. Target Angle during Fault Time (Radians)]]-TA[[#This Row],[Angle of affected equipment ]]))</f>
        <v>0.11705240714107301</v>
      </c>
      <c r="AI1375" s="35">
        <f>IFERROR(TA[[#This Row],[Breakdown Time]]*TA[[#This Row],[Plant Equivalent Weightage]],"")</f>
        <v>0</v>
      </c>
    </row>
    <row r="1376" spans="1:35">
      <c r="A1376" s="2">
        <f t="shared" si="151"/>
        <v>1373</v>
      </c>
      <c r="B1376" s="156">
        <f t="shared" si="160"/>
        <v>2026</v>
      </c>
      <c r="C1376" s="129">
        <f t="shared" si="161"/>
        <v>2025</v>
      </c>
      <c r="D1376" s="2" t="s">
        <v>155</v>
      </c>
      <c r="E1376" s="2" t="s">
        <v>155</v>
      </c>
      <c r="F1376" s="39">
        <v>45839</v>
      </c>
      <c r="G1376" s="2">
        <f>DAY(EOMONTH(TA[[#This Row],[Month Year]],0))</f>
        <v>31</v>
      </c>
      <c r="H1376" s="21">
        <v>45842</v>
      </c>
      <c r="I1376" s="41">
        <f>IFERROR(VLOOKUP(TA[[#This Row],[Date]],Raw_Data[[Date]:[Sunset Time (POA&lt;20 W/m2)]],3,0),"")</f>
        <v>0.25347222222222221</v>
      </c>
      <c r="J1376" s="41">
        <f>IFERROR(VLOOKUP(TA[[#This Row],[Date]],Raw_Data[[Date]:[Sunset Time (POA&lt;20 W/m2)]],4,0),"")</f>
        <v>0.7729166666666667</v>
      </c>
      <c r="K1376" s="35">
        <f>IFERROR((TA[[#This Row],[Sunset Time (POA&lt;20 W/m2)]]-TA[[#This Row],[Sunrise Time (POA&gt;20 W/m2)]])*24,"")</f>
        <v>12.466666666666669</v>
      </c>
      <c r="L1376" s="2" t="s">
        <v>296</v>
      </c>
      <c r="M1376" s="42">
        <f>IFERROR(VLOOKUP(TA[[#This Row],[Affected Equipment]],'Basic Data'!$I$2:$K$40,3,0),"")</f>
        <v>8.6206896551724102E-3</v>
      </c>
      <c r="N1376">
        <v>-28</v>
      </c>
      <c r="O1376" t="s">
        <v>135</v>
      </c>
      <c r="P1376" s="22" t="s">
        <v>323</v>
      </c>
      <c r="Q1376" s="2" t="s">
        <v>329</v>
      </c>
      <c r="R1376">
        <v>45</v>
      </c>
      <c r="S1376" s="2">
        <v>8</v>
      </c>
      <c r="T1376" t="s">
        <v>297</v>
      </c>
      <c r="U1376" t="s">
        <v>300</v>
      </c>
      <c r="V1376" t="s">
        <v>301</v>
      </c>
      <c r="W1376" s="41"/>
      <c r="X1376" s="41"/>
      <c r="Y1376" s="34"/>
      <c r="Z1376" s="34"/>
      <c r="AA1376" s="35">
        <f>IF(TA[[#This Row],[Work Start time on Fault]]="NA","",(TA[[#This Row],[Fault Acknowledgement Time ]]-TA[[#This Row],[Fault Time]])*24)</f>
        <v>0</v>
      </c>
      <c r="AB1376" s="35">
        <f>(TA[[#This Row],[Work Start time on Fault]]-TA[[#This Row],[Fault Time]])*24</f>
        <v>0</v>
      </c>
      <c r="AC1376" s="34">
        <f>(TA[[#This Row],[Work Completion time on fault]]-TA[[#This Row],[Fault Time]])*24</f>
        <v>0</v>
      </c>
      <c r="AD1376" s="35">
        <f>IFERROR((TA[[#This Row],[Work Completion time on fault]]-TA[[#This Row],[Fault Time]])*24,"")</f>
        <v>0</v>
      </c>
      <c r="AE1376" t="s">
        <v>328</v>
      </c>
      <c r="AF1376" t="s">
        <v>256</v>
      </c>
      <c r="AG1376" s="2"/>
      <c r="AH1376" s="44">
        <f>1-COS(RADIANS(TA[[#This Row],[Avg. Target Angle during Fault Time (Radians)]]-TA[[#This Row],[Angle of affected equipment ]]))</f>
        <v>0.11705240714107301</v>
      </c>
      <c r="AI1376" s="35">
        <f>IFERROR(TA[[#This Row],[Breakdown Time]]*TA[[#This Row],[Plant Equivalent Weightage]],"")</f>
        <v>0</v>
      </c>
    </row>
    <row r="1377" spans="1:35">
      <c r="A1377" s="2">
        <f t="shared" si="151"/>
        <v>1374</v>
      </c>
      <c r="B1377" s="156">
        <f t="shared" si="160"/>
        <v>2026</v>
      </c>
      <c r="C1377" s="129">
        <f t="shared" si="161"/>
        <v>2025</v>
      </c>
      <c r="D1377" s="2" t="s">
        <v>155</v>
      </c>
      <c r="E1377" s="2" t="s">
        <v>155</v>
      </c>
      <c r="F1377" s="39">
        <v>45839</v>
      </c>
      <c r="G1377" s="2">
        <f>DAY(EOMONTH(TA[[#This Row],[Month Year]],0))</f>
        <v>31</v>
      </c>
      <c r="H1377" s="21">
        <v>45842</v>
      </c>
      <c r="I1377" s="41">
        <f>IFERROR(VLOOKUP(TA[[#This Row],[Date]],Raw_Data[[Date]:[Sunset Time (POA&lt;20 W/m2)]],3,0),"")</f>
        <v>0.25347222222222221</v>
      </c>
      <c r="J1377" s="41">
        <f>IFERROR(VLOOKUP(TA[[#This Row],[Date]],Raw_Data[[Date]:[Sunset Time (POA&lt;20 W/m2)]],4,0),"")</f>
        <v>0.7729166666666667</v>
      </c>
      <c r="K1377" s="35">
        <f>IFERROR((TA[[#This Row],[Sunset Time (POA&lt;20 W/m2)]]-TA[[#This Row],[Sunrise Time (POA&gt;20 W/m2)]])*24,"")</f>
        <v>12.466666666666669</v>
      </c>
      <c r="L1377" s="2" t="s">
        <v>296</v>
      </c>
      <c r="M1377" s="42">
        <f>IFERROR(VLOOKUP(TA[[#This Row],[Affected Equipment]],'Basic Data'!$I$2:$K$40,3,0),"")</f>
        <v>8.6206896551724102E-3</v>
      </c>
      <c r="N1377">
        <v>-28</v>
      </c>
      <c r="O1377" t="s">
        <v>135</v>
      </c>
      <c r="P1377" s="22" t="s">
        <v>323</v>
      </c>
      <c r="Q1377" s="2" t="s">
        <v>329</v>
      </c>
      <c r="R1377">
        <v>47</v>
      </c>
      <c r="S1377" s="2">
        <v>18</v>
      </c>
      <c r="T1377" t="s">
        <v>297</v>
      </c>
      <c r="U1377" t="s">
        <v>300</v>
      </c>
      <c r="V1377" t="s">
        <v>301</v>
      </c>
      <c r="W1377" s="41"/>
      <c r="X1377" s="41"/>
      <c r="Y1377" s="34"/>
      <c r="Z1377" s="34"/>
      <c r="AA1377" s="35">
        <f>IF(TA[[#This Row],[Work Start time on Fault]]="NA","",(TA[[#This Row],[Fault Acknowledgement Time ]]-TA[[#This Row],[Fault Time]])*24)</f>
        <v>0</v>
      </c>
      <c r="AB1377" s="35">
        <f>(TA[[#This Row],[Work Start time on Fault]]-TA[[#This Row],[Fault Time]])*24</f>
        <v>0</v>
      </c>
      <c r="AC1377" s="34">
        <f>(TA[[#This Row],[Work Completion time on fault]]-TA[[#This Row],[Fault Time]])*24</f>
        <v>0</v>
      </c>
      <c r="AD1377" s="35">
        <f>IFERROR((TA[[#This Row],[Work Completion time on fault]]-TA[[#This Row],[Fault Time]])*24,"")</f>
        <v>0</v>
      </c>
      <c r="AE1377" t="s">
        <v>328</v>
      </c>
      <c r="AF1377" t="s">
        <v>256</v>
      </c>
      <c r="AG1377" s="2"/>
      <c r="AH1377" s="44">
        <f>1-COS(RADIANS(TA[[#This Row],[Avg. Target Angle during Fault Time (Radians)]]-TA[[#This Row],[Angle of affected equipment ]]))</f>
        <v>0.11705240714107301</v>
      </c>
      <c r="AI1377" s="35">
        <f>IFERROR(TA[[#This Row],[Breakdown Time]]*TA[[#This Row],[Plant Equivalent Weightage]],"")</f>
        <v>0</v>
      </c>
    </row>
    <row r="1378" spans="1:35">
      <c r="A1378" s="2">
        <f t="shared" si="151"/>
        <v>1375</v>
      </c>
      <c r="B1378" s="156">
        <f t="shared" si="160"/>
        <v>2026</v>
      </c>
      <c r="C1378" s="129">
        <f t="shared" si="161"/>
        <v>2025</v>
      </c>
      <c r="D1378" s="2" t="s">
        <v>155</v>
      </c>
      <c r="E1378" s="2" t="s">
        <v>155</v>
      </c>
      <c r="F1378" s="39">
        <v>45839</v>
      </c>
      <c r="G1378" s="2">
        <f>DAY(EOMONTH(TA[[#This Row],[Month Year]],0))</f>
        <v>31</v>
      </c>
      <c r="H1378" s="21">
        <v>45842</v>
      </c>
      <c r="I1378" s="41">
        <f>IFERROR(VLOOKUP(TA[[#This Row],[Date]],Raw_Data[[Date]:[Sunset Time (POA&lt;20 W/m2)]],3,0),"")</f>
        <v>0.25347222222222221</v>
      </c>
      <c r="J1378" s="41">
        <f>IFERROR(VLOOKUP(TA[[#This Row],[Date]],Raw_Data[[Date]:[Sunset Time (POA&lt;20 W/m2)]],4,0),"")</f>
        <v>0.7729166666666667</v>
      </c>
      <c r="K1378" s="35">
        <f>IFERROR((TA[[#This Row],[Sunset Time (POA&lt;20 W/m2)]]-TA[[#This Row],[Sunrise Time (POA&gt;20 W/m2)]])*24,"")</f>
        <v>12.466666666666669</v>
      </c>
      <c r="L1378" s="2" t="s">
        <v>296</v>
      </c>
      <c r="M1378" s="42">
        <f>IFERROR(VLOOKUP(TA[[#This Row],[Affected Equipment]],'Basic Data'!$I$2:$K$40,3,0),"")</f>
        <v>8.6206896551724102E-3</v>
      </c>
      <c r="N1378">
        <v>-28</v>
      </c>
      <c r="O1378" t="s">
        <v>134</v>
      </c>
      <c r="P1378" s="22" t="s">
        <v>330</v>
      </c>
      <c r="Q1378" s="2" t="s">
        <v>323</v>
      </c>
      <c r="R1378">
        <v>30</v>
      </c>
      <c r="S1378" s="2">
        <v>57</v>
      </c>
      <c r="T1378" t="s">
        <v>297</v>
      </c>
      <c r="U1378" t="s">
        <v>300</v>
      </c>
      <c r="V1378" t="s">
        <v>301</v>
      </c>
      <c r="W1378" s="41"/>
      <c r="X1378" s="41"/>
      <c r="Y1378" s="34"/>
      <c r="Z1378" s="34"/>
      <c r="AA1378" s="35">
        <f>IF(TA[[#This Row],[Work Start time on Fault]]="NA","",(TA[[#This Row],[Fault Acknowledgement Time ]]-TA[[#This Row],[Fault Time]])*24)</f>
        <v>0</v>
      </c>
      <c r="AB1378" s="35">
        <f>(TA[[#This Row],[Work Start time on Fault]]-TA[[#This Row],[Fault Time]])*24</f>
        <v>0</v>
      </c>
      <c r="AC1378" s="34">
        <f>(TA[[#This Row],[Work Completion time on fault]]-TA[[#This Row],[Fault Time]])*24</f>
        <v>0</v>
      </c>
      <c r="AD1378" s="35">
        <f>IFERROR((TA[[#This Row],[Work Completion time on fault]]-TA[[#This Row],[Fault Time]])*24,"")</f>
        <v>0</v>
      </c>
      <c r="AE1378" t="s">
        <v>328</v>
      </c>
      <c r="AF1378" t="s">
        <v>256</v>
      </c>
      <c r="AG1378" s="2"/>
      <c r="AH1378" s="44">
        <f>1-COS(RADIANS(TA[[#This Row],[Avg. Target Angle during Fault Time (Radians)]]-TA[[#This Row],[Angle of affected equipment ]]))</f>
        <v>0.11705240714107301</v>
      </c>
      <c r="AI1378" s="35">
        <f>IFERROR(TA[[#This Row],[Breakdown Time]]*TA[[#This Row],[Plant Equivalent Weightage]],"")</f>
        <v>0</v>
      </c>
    </row>
    <row r="1379" spans="1:35">
      <c r="A1379" s="2">
        <f t="shared" si="151"/>
        <v>1376</v>
      </c>
      <c r="B1379" s="156">
        <f t="shared" si="160"/>
        <v>2026</v>
      </c>
      <c r="C1379" s="129">
        <f t="shared" si="161"/>
        <v>2025</v>
      </c>
      <c r="D1379" s="2" t="s">
        <v>155</v>
      </c>
      <c r="E1379" s="2" t="s">
        <v>155</v>
      </c>
      <c r="F1379" s="39">
        <v>45839</v>
      </c>
      <c r="G1379" s="2">
        <f>DAY(EOMONTH(TA[[#This Row],[Month Year]],0))</f>
        <v>31</v>
      </c>
      <c r="H1379" s="21">
        <v>45842</v>
      </c>
      <c r="I1379" s="41">
        <f>IFERROR(VLOOKUP(TA[[#This Row],[Date]],Raw_Data[[Date]:[Sunset Time (POA&lt;20 W/m2)]],3,0),"")</f>
        <v>0.25347222222222221</v>
      </c>
      <c r="J1379" s="41">
        <f>IFERROR(VLOOKUP(TA[[#This Row],[Date]],Raw_Data[[Date]:[Sunset Time (POA&lt;20 W/m2)]],4,0),"")</f>
        <v>0.7729166666666667</v>
      </c>
      <c r="K1379" s="35">
        <f>IFERROR((TA[[#This Row],[Sunset Time (POA&lt;20 W/m2)]]-TA[[#This Row],[Sunrise Time (POA&gt;20 W/m2)]])*24,"")</f>
        <v>12.466666666666669</v>
      </c>
      <c r="L1379" s="2" t="s">
        <v>296</v>
      </c>
      <c r="M1379" s="42">
        <f>IFERROR(VLOOKUP(TA[[#This Row],[Affected Equipment]],'Basic Data'!$I$2:$K$40,3,0),"")</f>
        <v>8.6206896551724102E-3</v>
      </c>
      <c r="N1379">
        <v>-28</v>
      </c>
      <c r="O1379" t="s">
        <v>134</v>
      </c>
      <c r="P1379" s="22" t="s">
        <v>330</v>
      </c>
      <c r="Q1379" s="2" t="s">
        <v>323</v>
      </c>
      <c r="R1379">
        <v>31</v>
      </c>
      <c r="S1379" s="2">
        <v>61</v>
      </c>
      <c r="T1379" t="s">
        <v>297</v>
      </c>
      <c r="U1379" t="s">
        <v>300</v>
      </c>
      <c r="V1379" t="s">
        <v>301</v>
      </c>
      <c r="W1379" s="41"/>
      <c r="X1379" s="41"/>
      <c r="Y1379" s="34"/>
      <c r="Z1379" s="34"/>
      <c r="AA1379" s="35">
        <f>IF(TA[[#This Row],[Work Start time on Fault]]="NA","",(TA[[#This Row],[Fault Acknowledgement Time ]]-TA[[#This Row],[Fault Time]])*24)</f>
        <v>0</v>
      </c>
      <c r="AB1379" s="35">
        <f>(TA[[#This Row],[Work Start time on Fault]]-TA[[#This Row],[Fault Time]])*24</f>
        <v>0</v>
      </c>
      <c r="AC1379" s="34">
        <f>(TA[[#This Row],[Work Completion time on fault]]-TA[[#This Row],[Fault Time]])*24</f>
        <v>0</v>
      </c>
      <c r="AD1379" s="35">
        <f>IFERROR((TA[[#This Row],[Work Completion time on fault]]-TA[[#This Row],[Fault Time]])*24,"")</f>
        <v>0</v>
      </c>
      <c r="AE1379" t="s">
        <v>328</v>
      </c>
      <c r="AF1379" t="s">
        <v>256</v>
      </c>
      <c r="AG1379" s="2"/>
      <c r="AH1379" s="44">
        <f>1-COS(RADIANS(TA[[#This Row],[Avg. Target Angle during Fault Time (Radians)]]-TA[[#This Row],[Angle of affected equipment ]]))</f>
        <v>0.11705240714107301</v>
      </c>
      <c r="AI1379" s="35">
        <f>IFERROR(TA[[#This Row],[Breakdown Time]]*TA[[#This Row],[Plant Equivalent Weightage]],"")</f>
        <v>0</v>
      </c>
    </row>
    <row r="1380" spans="1:35">
      <c r="A1380" s="2">
        <f t="shared" si="151"/>
        <v>1377</v>
      </c>
      <c r="B1380" s="156">
        <f t="shared" si="160"/>
        <v>2026</v>
      </c>
      <c r="C1380" s="129">
        <f t="shared" si="161"/>
        <v>2025</v>
      </c>
      <c r="D1380" s="2" t="s">
        <v>155</v>
      </c>
      <c r="E1380" s="2" t="s">
        <v>155</v>
      </c>
      <c r="F1380" s="39">
        <v>45839</v>
      </c>
      <c r="G1380" s="2">
        <f>DAY(EOMONTH(TA[[#This Row],[Month Year]],0))</f>
        <v>31</v>
      </c>
      <c r="H1380" s="21">
        <v>45842</v>
      </c>
      <c r="I1380" s="41">
        <f>IFERROR(VLOOKUP(TA[[#This Row],[Date]],Raw_Data[[Date]:[Sunset Time (POA&lt;20 W/m2)]],3,0),"")</f>
        <v>0.25347222222222221</v>
      </c>
      <c r="J1380" s="41">
        <f>IFERROR(VLOOKUP(TA[[#This Row],[Date]],Raw_Data[[Date]:[Sunset Time (POA&lt;20 W/m2)]],4,0),"")</f>
        <v>0.7729166666666667</v>
      </c>
      <c r="K1380" s="35">
        <f>IFERROR((TA[[#This Row],[Sunset Time (POA&lt;20 W/m2)]]-TA[[#This Row],[Sunrise Time (POA&gt;20 W/m2)]])*24,"")</f>
        <v>12.466666666666669</v>
      </c>
      <c r="L1380" s="2" t="s">
        <v>312</v>
      </c>
      <c r="M1380" s="42">
        <f>IFERROR(VLOOKUP(TA[[#This Row],[Affected Equipment]],'Basic Data'!$I$2:$K$40,3,0),"")</f>
        <v>5.74712643678161E-3</v>
      </c>
      <c r="N1380">
        <v>-28</v>
      </c>
      <c r="O1380" t="s">
        <v>133</v>
      </c>
      <c r="P1380" s="22" t="s">
        <v>330</v>
      </c>
      <c r="Q1380" s="2" t="s">
        <v>323</v>
      </c>
      <c r="R1380">
        <v>26</v>
      </c>
      <c r="S1380" s="2">
        <v>37</v>
      </c>
      <c r="T1380" t="s">
        <v>297</v>
      </c>
      <c r="U1380" t="s">
        <v>300</v>
      </c>
      <c r="V1380" t="s">
        <v>301</v>
      </c>
      <c r="W1380" s="41"/>
      <c r="X1380" s="41"/>
      <c r="Y1380" s="34"/>
      <c r="Z1380" s="34"/>
      <c r="AA1380" s="35">
        <f>IF(TA[[#This Row],[Work Start time on Fault]]="NA","",(TA[[#This Row],[Fault Acknowledgement Time ]]-TA[[#This Row],[Fault Time]])*24)</f>
        <v>0</v>
      </c>
      <c r="AB1380" s="35">
        <f>(TA[[#This Row],[Work Start time on Fault]]-TA[[#This Row],[Fault Time]])*24</f>
        <v>0</v>
      </c>
      <c r="AC1380" s="34">
        <f>(TA[[#This Row],[Work Completion time on fault]]-TA[[#This Row],[Fault Time]])*24</f>
        <v>0</v>
      </c>
      <c r="AD1380" s="35">
        <f>IFERROR((TA[[#This Row],[Work Completion time on fault]]-TA[[#This Row],[Fault Time]])*24,"")</f>
        <v>0</v>
      </c>
      <c r="AE1380" t="s">
        <v>328</v>
      </c>
      <c r="AF1380" t="s">
        <v>256</v>
      </c>
      <c r="AG1380" s="2"/>
      <c r="AH1380" s="44">
        <f>1-COS(RADIANS(TA[[#This Row],[Avg. Target Angle during Fault Time (Radians)]]-TA[[#This Row],[Angle of affected equipment ]]))</f>
        <v>0.11705240714107301</v>
      </c>
      <c r="AI1380" s="35">
        <f>IFERROR(TA[[#This Row],[Breakdown Time]]*TA[[#This Row],[Plant Equivalent Weightage]],"")</f>
        <v>0</v>
      </c>
    </row>
    <row r="1381" spans="1:35">
      <c r="A1381" s="2">
        <f t="shared" ref="A1381" si="162">A1380+1</f>
        <v>1378</v>
      </c>
      <c r="B1381" s="156">
        <f t="shared" si="160"/>
        <v>2026</v>
      </c>
      <c r="C1381" s="129">
        <f t="shared" si="161"/>
        <v>2025</v>
      </c>
      <c r="D1381" s="2" t="s">
        <v>155</v>
      </c>
      <c r="E1381" s="2" t="s">
        <v>155</v>
      </c>
      <c r="F1381" s="39">
        <v>45839</v>
      </c>
      <c r="G1381" s="2">
        <f>DAY(EOMONTH(TA[[#This Row],[Month Year]],0))</f>
        <v>31</v>
      </c>
      <c r="H1381" s="21">
        <v>45842</v>
      </c>
      <c r="I1381" s="41">
        <f>IFERROR(VLOOKUP(TA[[#This Row],[Date]],Raw_Data[[Date]:[Sunset Time (POA&lt;20 W/m2)]],3,0),"")</f>
        <v>0.25347222222222221</v>
      </c>
      <c r="J1381" s="41">
        <f>IFERROR(VLOOKUP(TA[[#This Row],[Date]],Raw_Data[[Date]:[Sunset Time (POA&lt;20 W/m2)]],4,0),"")</f>
        <v>0.7729166666666667</v>
      </c>
      <c r="K1381" s="35">
        <f>IFERROR((TA[[#This Row],[Sunset Time (POA&lt;20 W/m2)]]-TA[[#This Row],[Sunrise Time (POA&gt;20 W/m2)]])*24,"")</f>
        <v>12.466666666666669</v>
      </c>
      <c r="L1381" s="2" t="s">
        <v>312</v>
      </c>
      <c r="M1381" s="42">
        <f>IFERROR(VLOOKUP(TA[[#This Row],[Affected Equipment]],'Basic Data'!$I$2:$K$40,3,0),"")</f>
        <v>5.74712643678161E-3</v>
      </c>
      <c r="N1381">
        <v>-28</v>
      </c>
      <c r="O1381" t="s">
        <v>133</v>
      </c>
      <c r="P1381" s="22" t="s">
        <v>330</v>
      </c>
      <c r="Q1381" s="2" t="s">
        <v>323</v>
      </c>
      <c r="R1381">
        <v>27</v>
      </c>
      <c r="S1381" s="2">
        <v>42</v>
      </c>
      <c r="T1381" t="s">
        <v>297</v>
      </c>
      <c r="U1381" t="s">
        <v>300</v>
      </c>
      <c r="V1381" t="s">
        <v>301</v>
      </c>
      <c r="W1381" s="41">
        <f>IFERROR(VLOOKUP(TA[[#This Row],[Date]],Raw_Data[[Date]:[Sunset Time (POA&lt;20 W/m2)]],3,0),"")</f>
        <v>0.25347222222222221</v>
      </c>
      <c r="X1381" s="41">
        <f>IFERROR(VLOOKUP(TA[[#This Row],[Date]],Raw_Data[[Date]:[Sunset Time (POA&lt;20 W/m2)]],3,0),"")</f>
        <v>0.25347222222222221</v>
      </c>
      <c r="Y1381" s="34"/>
      <c r="Z1381" s="34">
        <v>0.76041666666666663</v>
      </c>
      <c r="AA1381" s="35">
        <f>IF(TA[[#This Row],[Work Start time on Fault]]="NA","",(TA[[#This Row],[Fault Acknowledgement Time ]]-TA[[#This Row],[Fault Time]])*24)</f>
        <v>0</v>
      </c>
      <c r="AB1381" s="35">
        <f>(TA[[#This Row],[Work Start time on Fault]]-TA[[#This Row],[Fault Time]])*24</f>
        <v>-6.083333333333333</v>
      </c>
      <c r="AC1381" s="34">
        <f>(TA[[#This Row],[Work Completion time on fault]]-TA[[#This Row],[Fault Time]])*24</f>
        <v>12.166666666666666</v>
      </c>
      <c r="AD1381" s="35">
        <f>IFERROR((TA[[#This Row],[Work Completion time on fault]]-TA[[#This Row],[Fault Time]])*24,"")</f>
        <v>12.166666666666666</v>
      </c>
      <c r="AE1381" t="s">
        <v>309</v>
      </c>
      <c r="AF1381" t="s">
        <v>256</v>
      </c>
      <c r="AG1381" s="2"/>
      <c r="AH1381" s="44">
        <f>1-COS(RADIANS(TA[[#This Row],[Avg. Target Angle during Fault Time (Radians)]]-TA[[#This Row],[Angle of affected equipment ]]))</f>
        <v>0.11705240714107301</v>
      </c>
      <c r="AI1381" s="35">
        <f>IFERROR(TA[[#This Row],[Breakdown Time]]*TA[[#This Row],[Plant Equivalent Weightage]],"")</f>
        <v>6.9923371647509586E-2</v>
      </c>
    </row>
    <row r="1382" spans="1:35">
      <c r="A1382" s="2">
        <f t="shared" si="151"/>
        <v>1379</v>
      </c>
      <c r="B1382" s="156">
        <f t="shared" ref="B1382:B1394" si="163">YEAR(H1382)+IF(MONTH(H1382)&gt;=4,1,0)</f>
        <v>2026</v>
      </c>
      <c r="C1382" s="129">
        <f t="shared" ref="C1382:C1394" si="164">YEAR(H1382)</f>
        <v>2025</v>
      </c>
      <c r="D1382" s="2" t="s">
        <v>155</v>
      </c>
      <c r="E1382" s="2" t="s">
        <v>155</v>
      </c>
      <c r="F1382" s="39">
        <v>45839</v>
      </c>
      <c r="G1382" s="2">
        <f>DAY(EOMONTH(TA[[#This Row],[Month Year]],0))</f>
        <v>31</v>
      </c>
      <c r="H1382" s="21">
        <v>45843</v>
      </c>
      <c r="I1382" s="41">
        <f>IFERROR(VLOOKUP(TA[[#This Row],[Date]],Raw_Data[[Date]:[Sunset Time (POA&lt;20 W/m2)]],3,0),"")</f>
        <v>0.24930555555555556</v>
      </c>
      <c r="J1382" s="41">
        <f>IFERROR(VLOOKUP(TA[[#This Row],[Date]],Raw_Data[[Date]:[Sunset Time (POA&lt;20 W/m2)]],4,0),"")</f>
        <v>0.77777777777777779</v>
      </c>
      <c r="K1382" s="35">
        <f>IFERROR((TA[[#This Row],[Sunset Time (POA&lt;20 W/m2)]]-TA[[#This Row],[Sunrise Time (POA&gt;20 W/m2)]])*24,"")</f>
        <v>12.683333333333334</v>
      </c>
      <c r="L1382" s="2" t="s">
        <v>294</v>
      </c>
      <c r="M1382" s="42">
        <f>IFERROR(VLOOKUP(TA[[#This Row],[Affected Equipment]],'Basic Data'!$I$2:$K$40,3,0),"")</f>
        <v>1.7241379310344799E-3</v>
      </c>
      <c r="N1382">
        <v>-28</v>
      </c>
      <c r="O1382" t="s">
        <v>135</v>
      </c>
      <c r="P1382" s="127" t="s">
        <v>318</v>
      </c>
      <c r="Q1382" s="126" t="s">
        <v>318</v>
      </c>
      <c r="R1382">
        <v>131</v>
      </c>
      <c r="S1382" s="2">
        <v>38</v>
      </c>
      <c r="T1382" t="s">
        <v>295</v>
      </c>
      <c r="U1382" t="s">
        <v>300</v>
      </c>
      <c r="V1382" t="s">
        <v>298</v>
      </c>
      <c r="W1382" s="41"/>
      <c r="X1382" s="41"/>
      <c r="Y1382" s="34"/>
      <c r="Z1382" s="34"/>
      <c r="AA1382" s="35">
        <f>IF(TA[[#This Row],[Work Start time on Fault]]="NA","",(TA[[#This Row],[Fault Acknowledgement Time ]]-TA[[#This Row],[Fault Time]])*24)</f>
        <v>0</v>
      </c>
      <c r="AB1382" s="35">
        <f>(TA[[#This Row],[Work Start time on Fault]]-TA[[#This Row],[Fault Time]])*24</f>
        <v>0</v>
      </c>
      <c r="AC1382" s="34">
        <f>(TA[[#This Row],[Work Completion time on fault]]-TA[[#This Row],[Fault Time]])*24</f>
        <v>0</v>
      </c>
      <c r="AD1382" s="35">
        <f>IFERROR((TA[[#This Row],[Work Completion time on fault]]-TA[[#This Row],[Fault Time]])*24,"")</f>
        <v>0</v>
      </c>
      <c r="AE1382" t="s">
        <v>328</v>
      </c>
      <c r="AF1382" t="s">
        <v>256</v>
      </c>
      <c r="AG1382" s="2"/>
      <c r="AH1382" s="44">
        <f>1-COS(RADIANS(TA[[#This Row],[Avg. Target Angle during Fault Time (Radians)]]-TA[[#This Row],[Angle of affected equipment ]]))</f>
        <v>0.11705240714107301</v>
      </c>
      <c r="AI1382" s="35">
        <f>IFERROR(TA[[#This Row],[Breakdown Time]]*TA[[#This Row],[Plant Equivalent Weightage]],"")</f>
        <v>0</v>
      </c>
    </row>
    <row r="1383" spans="1:35">
      <c r="A1383" s="2">
        <f t="shared" ref="A1383:A1447" si="165">A1382+1</f>
        <v>1380</v>
      </c>
      <c r="B1383" s="156">
        <f t="shared" si="163"/>
        <v>2026</v>
      </c>
      <c r="C1383" s="129">
        <f t="shared" si="164"/>
        <v>2025</v>
      </c>
      <c r="D1383" s="2" t="s">
        <v>155</v>
      </c>
      <c r="E1383" s="2" t="s">
        <v>155</v>
      </c>
      <c r="F1383" s="39">
        <v>45839</v>
      </c>
      <c r="G1383" s="2">
        <f>DAY(EOMONTH(TA[[#This Row],[Month Year]],0))</f>
        <v>31</v>
      </c>
      <c r="H1383" s="21">
        <v>45843</v>
      </c>
      <c r="I1383" s="41">
        <f>IFERROR(VLOOKUP(TA[[#This Row],[Date]],Raw_Data[[Date]:[Sunset Time (POA&lt;20 W/m2)]],3,0),"")</f>
        <v>0.24930555555555556</v>
      </c>
      <c r="J1383" s="41">
        <f>IFERROR(VLOOKUP(TA[[#This Row],[Date]],Raw_Data[[Date]:[Sunset Time (POA&lt;20 W/m2)]],4,0),"")</f>
        <v>0.77777777777777779</v>
      </c>
      <c r="K1383" s="35">
        <f>IFERROR((TA[[#This Row],[Sunset Time (POA&lt;20 W/m2)]]-TA[[#This Row],[Sunrise Time (POA&gt;20 W/m2)]])*24,"")</f>
        <v>12.683333333333334</v>
      </c>
      <c r="L1383" s="2" t="s">
        <v>294</v>
      </c>
      <c r="M1383" s="42">
        <f>IFERROR(VLOOKUP(TA[[#This Row],[Affected Equipment]],'Basic Data'!$I$2:$K$40,3,0),"")</f>
        <v>1.7241379310344799E-3</v>
      </c>
      <c r="N1383">
        <v>-28</v>
      </c>
      <c r="O1383" t="s">
        <v>135</v>
      </c>
      <c r="P1383" s="127" t="s">
        <v>318</v>
      </c>
      <c r="Q1383" s="126" t="s">
        <v>318</v>
      </c>
      <c r="R1383">
        <v>131</v>
      </c>
      <c r="S1383" s="2">
        <v>39</v>
      </c>
      <c r="T1383" t="s">
        <v>295</v>
      </c>
      <c r="U1383" t="s">
        <v>300</v>
      </c>
      <c r="V1383" t="s">
        <v>298</v>
      </c>
      <c r="W1383" s="41"/>
      <c r="X1383" s="41"/>
      <c r="Y1383" s="34"/>
      <c r="Z1383" s="34"/>
      <c r="AA1383" s="35">
        <f>IF(TA[[#This Row],[Work Start time on Fault]]="NA","",(TA[[#This Row],[Fault Acknowledgement Time ]]-TA[[#This Row],[Fault Time]])*24)</f>
        <v>0</v>
      </c>
      <c r="AB1383" s="35">
        <f>(TA[[#This Row],[Work Start time on Fault]]-TA[[#This Row],[Fault Time]])*24</f>
        <v>0</v>
      </c>
      <c r="AC1383" s="34">
        <f>(TA[[#This Row],[Work Completion time on fault]]-TA[[#This Row],[Fault Time]])*24</f>
        <v>0</v>
      </c>
      <c r="AD1383" s="35">
        <f>IFERROR((TA[[#This Row],[Work Completion time on fault]]-TA[[#This Row],[Fault Time]])*24,"")</f>
        <v>0</v>
      </c>
      <c r="AE1383" t="s">
        <v>328</v>
      </c>
      <c r="AF1383" t="s">
        <v>256</v>
      </c>
      <c r="AG1383" s="2"/>
      <c r="AH1383" s="44">
        <f>1-COS(RADIANS(TA[[#This Row],[Avg. Target Angle during Fault Time (Radians)]]-TA[[#This Row],[Angle of affected equipment ]]))</f>
        <v>0.11705240714107301</v>
      </c>
      <c r="AI1383" s="35">
        <f>IFERROR(TA[[#This Row],[Breakdown Time]]*TA[[#This Row],[Plant Equivalent Weightage]],"")</f>
        <v>0</v>
      </c>
    </row>
    <row r="1384" spans="1:35">
      <c r="A1384" s="2">
        <f t="shared" si="165"/>
        <v>1381</v>
      </c>
      <c r="B1384" s="156">
        <f t="shared" si="163"/>
        <v>2026</v>
      </c>
      <c r="C1384" s="129">
        <f t="shared" si="164"/>
        <v>2025</v>
      </c>
      <c r="D1384" s="2" t="s">
        <v>155</v>
      </c>
      <c r="E1384" s="2" t="s">
        <v>155</v>
      </c>
      <c r="F1384" s="39">
        <v>45839</v>
      </c>
      <c r="G1384" s="2">
        <f>DAY(EOMONTH(TA[[#This Row],[Month Year]],0))</f>
        <v>31</v>
      </c>
      <c r="H1384" s="21">
        <v>45843</v>
      </c>
      <c r="I1384" s="41">
        <f>IFERROR(VLOOKUP(TA[[#This Row],[Date]],Raw_Data[[Date]:[Sunset Time (POA&lt;20 W/m2)]],3,0),"")</f>
        <v>0.24930555555555556</v>
      </c>
      <c r="J1384" s="41">
        <f>IFERROR(VLOOKUP(TA[[#This Row],[Date]],Raw_Data[[Date]:[Sunset Time (POA&lt;20 W/m2)]],4,0),"")</f>
        <v>0.77777777777777779</v>
      </c>
      <c r="K1384" s="35">
        <f>IFERROR((TA[[#This Row],[Sunset Time (POA&lt;20 W/m2)]]-TA[[#This Row],[Sunrise Time (POA&gt;20 W/m2)]])*24,"")</f>
        <v>12.683333333333334</v>
      </c>
      <c r="L1384" s="2" t="s">
        <v>296</v>
      </c>
      <c r="M1384" s="42">
        <f>IFERROR(VLOOKUP(TA[[#This Row],[Affected Equipment]],'Basic Data'!$I$2:$K$40,3,0),"")</f>
        <v>8.6206896551724102E-3</v>
      </c>
      <c r="N1384">
        <v>-28</v>
      </c>
      <c r="O1384" t="s">
        <v>135</v>
      </c>
      <c r="P1384" s="127" t="s">
        <v>318</v>
      </c>
      <c r="Q1384" s="2" t="s">
        <v>321</v>
      </c>
      <c r="R1384">
        <v>133</v>
      </c>
      <c r="S1384" s="2">
        <v>26</v>
      </c>
      <c r="T1384" t="s">
        <v>297</v>
      </c>
      <c r="U1384" t="s">
        <v>300</v>
      </c>
      <c r="V1384" t="s">
        <v>314</v>
      </c>
      <c r="W1384" s="41">
        <f>IFERROR(VLOOKUP(TA[[#This Row],[Date]],Raw_Data[[Date]:[Sunset Time (POA&lt;20 W/m2)]],3,0),"")</f>
        <v>0.24930555555555556</v>
      </c>
      <c r="X1384" s="41">
        <f>IFERROR(VLOOKUP(TA[[#This Row],[Date]],Raw_Data[[Date]:[Sunset Time (POA&lt;20 W/m2)]],3,0),"")</f>
        <v>0.24930555555555556</v>
      </c>
      <c r="Y1384" s="34"/>
      <c r="Z1384" s="34">
        <v>0.76041666666666663</v>
      </c>
      <c r="AA1384" s="35">
        <f>IF(TA[[#This Row],[Work Start time on Fault]]="NA","",(TA[[#This Row],[Fault Acknowledgement Time ]]-TA[[#This Row],[Fault Time]])*24)</f>
        <v>0</v>
      </c>
      <c r="AB1384" s="35">
        <f>(TA[[#This Row],[Work Start time on Fault]]-TA[[#This Row],[Fault Time]])*24</f>
        <v>-5.9833333333333334</v>
      </c>
      <c r="AC1384" s="34">
        <f>(TA[[#This Row],[Work Completion time on fault]]-TA[[#This Row],[Fault Time]])*24</f>
        <v>12.266666666666666</v>
      </c>
      <c r="AD1384" s="35">
        <f>IFERROR((TA[[#This Row],[Work Completion time on fault]]-TA[[#This Row],[Fault Time]])*24,"")</f>
        <v>12.266666666666666</v>
      </c>
      <c r="AE1384" t="s">
        <v>328</v>
      </c>
      <c r="AF1384" t="s">
        <v>256</v>
      </c>
      <c r="AG1384" s="2"/>
      <c r="AH1384" s="44">
        <f>1-COS(RADIANS(TA[[#This Row],[Avg. Target Angle during Fault Time (Radians)]]-TA[[#This Row],[Angle of affected equipment ]]))</f>
        <v>0.11705240714107301</v>
      </c>
      <c r="AI1384" s="35">
        <f>IFERROR(TA[[#This Row],[Breakdown Time]]*TA[[#This Row],[Plant Equivalent Weightage]],"")</f>
        <v>0.10574712643678155</v>
      </c>
    </row>
    <row r="1385" spans="1:35">
      <c r="A1385" s="2">
        <f t="shared" si="165"/>
        <v>1382</v>
      </c>
      <c r="B1385" s="156">
        <f t="shared" si="163"/>
        <v>2026</v>
      </c>
      <c r="C1385" s="129">
        <f t="shared" si="164"/>
        <v>2025</v>
      </c>
      <c r="D1385" s="2" t="s">
        <v>155</v>
      </c>
      <c r="E1385" s="2" t="s">
        <v>155</v>
      </c>
      <c r="F1385" s="39">
        <v>45839</v>
      </c>
      <c r="G1385" s="2">
        <f>DAY(EOMONTH(TA[[#This Row],[Month Year]],0))</f>
        <v>31</v>
      </c>
      <c r="H1385" s="21">
        <v>45843</v>
      </c>
      <c r="I1385" s="41">
        <f>IFERROR(VLOOKUP(TA[[#This Row],[Date]],Raw_Data[[Date]:[Sunset Time (POA&lt;20 W/m2)]],3,0),"")</f>
        <v>0.24930555555555556</v>
      </c>
      <c r="J1385" s="41">
        <f>IFERROR(VLOOKUP(TA[[#This Row],[Date]],Raw_Data[[Date]:[Sunset Time (POA&lt;20 W/m2)]],4,0),"")</f>
        <v>0.77777777777777779</v>
      </c>
      <c r="K1385" s="35">
        <f>IFERROR((TA[[#This Row],[Sunset Time (POA&lt;20 W/m2)]]-TA[[#This Row],[Sunrise Time (POA&gt;20 W/m2)]])*24,"")</f>
        <v>12.683333333333334</v>
      </c>
      <c r="L1385" s="2" t="s">
        <v>294</v>
      </c>
      <c r="M1385" s="42">
        <f>IFERROR(VLOOKUP(TA[[#This Row],[Affected Equipment]],'Basic Data'!$I$2:$K$40,3,0),"")</f>
        <v>1.7241379310344799E-3</v>
      </c>
      <c r="N1385">
        <v>-28</v>
      </c>
      <c r="O1385" t="s">
        <v>133</v>
      </c>
      <c r="P1385" s="127" t="s">
        <v>316</v>
      </c>
      <c r="Q1385" s="126" t="s">
        <v>317</v>
      </c>
      <c r="R1385">
        <v>7</v>
      </c>
      <c r="S1385" s="2">
        <v>32</v>
      </c>
      <c r="T1385" t="s">
        <v>295</v>
      </c>
      <c r="U1385" t="s">
        <v>300</v>
      </c>
      <c r="V1385" t="s">
        <v>298</v>
      </c>
      <c r="W1385" s="41"/>
      <c r="X1385" s="41"/>
      <c r="Y1385" s="34"/>
      <c r="Z1385" s="34"/>
      <c r="AA1385" s="35">
        <f>IF(TA[[#This Row],[Work Start time on Fault]]="NA","",(TA[[#This Row],[Fault Acknowledgement Time ]]-TA[[#This Row],[Fault Time]])*24)</f>
        <v>0</v>
      </c>
      <c r="AB1385" s="35">
        <f>(TA[[#This Row],[Work Start time on Fault]]-TA[[#This Row],[Fault Time]])*24</f>
        <v>0</v>
      </c>
      <c r="AC1385" s="34">
        <f>(TA[[#This Row],[Work Completion time on fault]]-TA[[#This Row],[Fault Time]])*24</f>
        <v>0</v>
      </c>
      <c r="AD1385" s="35">
        <f>IFERROR((TA[[#This Row],[Work Completion time on fault]]-TA[[#This Row],[Fault Time]])*24,"")</f>
        <v>0</v>
      </c>
      <c r="AE1385" t="s">
        <v>328</v>
      </c>
      <c r="AF1385" t="s">
        <v>256</v>
      </c>
      <c r="AG1385" s="2"/>
      <c r="AH1385" s="44">
        <f>1-COS(RADIANS(TA[[#This Row],[Avg. Target Angle during Fault Time (Radians)]]-TA[[#This Row],[Angle of affected equipment ]]))</f>
        <v>0.11705240714107301</v>
      </c>
      <c r="AI1385" s="35">
        <f>IFERROR(TA[[#This Row],[Breakdown Time]]*TA[[#This Row],[Plant Equivalent Weightage]],"")</f>
        <v>0</v>
      </c>
    </row>
    <row r="1386" spans="1:35">
      <c r="A1386" s="2">
        <f t="shared" si="165"/>
        <v>1383</v>
      </c>
      <c r="B1386" s="156">
        <f t="shared" si="163"/>
        <v>2026</v>
      </c>
      <c r="C1386" s="129">
        <f t="shared" si="164"/>
        <v>2025</v>
      </c>
      <c r="D1386" s="2" t="s">
        <v>155</v>
      </c>
      <c r="E1386" s="2" t="s">
        <v>155</v>
      </c>
      <c r="F1386" s="39">
        <v>45839</v>
      </c>
      <c r="G1386" s="2">
        <f>DAY(EOMONTH(TA[[#This Row],[Month Year]],0))</f>
        <v>31</v>
      </c>
      <c r="H1386" s="21">
        <v>45843</v>
      </c>
      <c r="I1386" s="41">
        <f>IFERROR(VLOOKUP(TA[[#This Row],[Date]],Raw_Data[[Date]:[Sunset Time (POA&lt;20 W/m2)]],3,0),"")</f>
        <v>0.24930555555555556</v>
      </c>
      <c r="J1386" s="41">
        <f>IFERROR(VLOOKUP(TA[[#This Row],[Date]],Raw_Data[[Date]:[Sunset Time (POA&lt;20 W/m2)]],4,0),"")</f>
        <v>0.77777777777777779</v>
      </c>
      <c r="K1386" s="35">
        <f>IFERROR((TA[[#This Row],[Sunset Time (POA&lt;20 W/m2)]]-TA[[#This Row],[Sunrise Time (POA&gt;20 W/m2)]])*24,"")</f>
        <v>12.683333333333334</v>
      </c>
      <c r="L1386" s="2" t="s">
        <v>294</v>
      </c>
      <c r="M1386" s="42">
        <f>IFERROR(VLOOKUP(TA[[#This Row],[Affected Equipment]],'Basic Data'!$I$2:$K$40,3,0),"")</f>
        <v>1.7241379310344799E-3</v>
      </c>
      <c r="N1386">
        <v>-28</v>
      </c>
      <c r="O1386" t="s">
        <v>137</v>
      </c>
      <c r="P1386" s="127" t="s">
        <v>315</v>
      </c>
      <c r="Q1386" s="126" t="s">
        <v>319</v>
      </c>
      <c r="R1386">
        <v>166</v>
      </c>
      <c r="S1386" s="2">
        <v>91</v>
      </c>
      <c r="T1386" t="s">
        <v>295</v>
      </c>
      <c r="U1386" t="s">
        <v>300</v>
      </c>
      <c r="V1386" t="s">
        <v>298</v>
      </c>
      <c r="W1386" s="41"/>
      <c r="X1386" s="41"/>
      <c r="Y1386" s="34"/>
      <c r="Z1386" s="34"/>
      <c r="AA1386" s="35">
        <f>IF(TA[[#This Row],[Work Start time on Fault]]="NA","",(TA[[#This Row],[Fault Acknowledgement Time ]]-TA[[#This Row],[Fault Time]])*24)</f>
        <v>0</v>
      </c>
      <c r="AB1386" s="35">
        <f>(TA[[#This Row],[Work Start time on Fault]]-TA[[#This Row],[Fault Time]])*24</f>
        <v>0</v>
      </c>
      <c r="AC1386" s="34">
        <f>(TA[[#This Row],[Work Completion time on fault]]-TA[[#This Row],[Fault Time]])*24</f>
        <v>0</v>
      </c>
      <c r="AD1386" s="35">
        <f>IFERROR((TA[[#This Row],[Work Completion time on fault]]-TA[[#This Row],[Fault Time]])*24,"")</f>
        <v>0</v>
      </c>
      <c r="AE1386" t="s">
        <v>328</v>
      </c>
      <c r="AF1386" t="s">
        <v>256</v>
      </c>
      <c r="AG1386" s="2"/>
      <c r="AH1386" s="44">
        <f>1-COS(RADIANS(TA[[#This Row],[Avg. Target Angle during Fault Time (Radians)]]-TA[[#This Row],[Angle of affected equipment ]]))</f>
        <v>0.11705240714107301</v>
      </c>
      <c r="AI1386" s="35">
        <f>IFERROR(TA[[#This Row],[Breakdown Time]]*TA[[#This Row],[Plant Equivalent Weightage]],"")</f>
        <v>0</v>
      </c>
    </row>
    <row r="1387" spans="1:35">
      <c r="A1387" s="2">
        <f t="shared" si="165"/>
        <v>1384</v>
      </c>
      <c r="B1387" s="156">
        <f t="shared" si="163"/>
        <v>2026</v>
      </c>
      <c r="C1387" s="129">
        <f t="shared" si="164"/>
        <v>2025</v>
      </c>
      <c r="D1387" s="2" t="s">
        <v>155</v>
      </c>
      <c r="E1387" s="2" t="s">
        <v>155</v>
      </c>
      <c r="F1387" s="39">
        <v>45839</v>
      </c>
      <c r="G1387" s="2">
        <f>DAY(EOMONTH(TA[[#This Row],[Month Year]],0))</f>
        <v>31</v>
      </c>
      <c r="H1387" s="21">
        <v>45843</v>
      </c>
      <c r="I1387" s="41">
        <f>IFERROR(VLOOKUP(TA[[#This Row],[Date]],Raw_Data[[Date]:[Sunset Time (POA&lt;20 W/m2)]],3,0),"")</f>
        <v>0.24930555555555556</v>
      </c>
      <c r="J1387" s="41">
        <f>IFERROR(VLOOKUP(TA[[#This Row],[Date]],Raw_Data[[Date]:[Sunset Time (POA&lt;20 W/m2)]],4,0),"")</f>
        <v>0.77777777777777779</v>
      </c>
      <c r="K1387" s="35">
        <f>IFERROR((TA[[#This Row],[Sunset Time (POA&lt;20 W/m2)]]-TA[[#This Row],[Sunrise Time (POA&gt;20 W/m2)]])*24,"")</f>
        <v>12.683333333333334</v>
      </c>
      <c r="L1387" s="2" t="s">
        <v>294</v>
      </c>
      <c r="M1387" s="42">
        <f>IFERROR(VLOOKUP(TA[[#This Row],[Affected Equipment]],'Basic Data'!$I$2:$K$40,3,0),"")</f>
        <v>1.7241379310344799E-3</v>
      </c>
      <c r="N1387">
        <v>-28</v>
      </c>
      <c r="O1387" t="s">
        <v>133</v>
      </c>
      <c r="P1387" s="127" t="s">
        <v>316</v>
      </c>
      <c r="Q1387" s="126" t="s">
        <v>316</v>
      </c>
      <c r="R1387">
        <v>117</v>
      </c>
      <c r="S1387" s="2">
        <v>20</v>
      </c>
      <c r="T1387" t="s">
        <v>295</v>
      </c>
      <c r="U1387" t="s">
        <v>300</v>
      </c>
      <c r="V1387" t="s">
        <v>298</v>
      </c>
      <c r="W1387" s="41"/>
      <c r="X1387" s="41"/>
      <c r="Y1387" s="34"/>
      <c r="Z1387" s="34"/>
      <c r="AA1387" s="35">
        <f>IF(TA[[#This Row],[Work Start time on Fault]]="NA","",(TA[[#This Row],[Fault Acknowledgement Time ]]-TA[[#This Row],[Fault Time]])*24)</f>
        <v>0</v>
      </c>
      <c r="AB1387" s="35">
        <f>(TA[[#This Row],[Work Start time on Fault]]-TA[[#This Row],[Fault Time]])*24</f>
        <v>0</v>
      </c>
      <c r="AC1387" s="34">
        <f>(TA[[#This Row],[Work Completion time on fault]]-TA[[#This Row],[Fault Time]])*24</f>
        <v>0</v>
      </c>
      <c r="AD1387" s="35">
        <f>IFERROR((TA[[#This Row],[Work Completion time on fault]]-TA[[#This Row],[Fault Time]])*24,"")</f>
        <v>0</v>
      </c>
      <c r="AE1387" t="s">
        <v>328</v>
      </c>
      <c r="AF1387" t="s">
        <v>256</v>
      </c>
      <c r="AG1387" s="2"/>
      <c r="AH1387" s="44">
        <f>1-COS(RADIANS(TA[[#This Row],[Avg. Target Angle during Fault Time (Radians)]]-TA[[#This Row],[Angle of affected equipment ]]))</f>
        <v>0.11705240714107301</v>
      </c>
      <c r="AI1387" s="35">
        <f>IFERROR(TA[[#This Row],[Breakdown Time]]*TA[[#This Row],[Plant Equivalent Weightage]],"")</f>
        <v>0</v>
      </c>
    </row>
    <row r="1388" spans="1:35">
      <c r="A1388" s="2">
        <f t="shared" si="165"/>
        <v>1385</v>
      </c>
      <c r="B1388" s="156">
        <f t="shared" si="163"/>
        <v>2026</v>
      </c>
      <c r="C1388" s="129">
        <f t="shared" si="164"/>
        <v>2025</v>
      </c>
      <c r="D1388" s="2" t="s">
        <v>155</v>
      </c>
      <c r="E1388" s="2" t="s">
        <v>155</v>
      </c>
      <c r="F1388" s="39">
        <v>45839</v>
      </c>
      <c r="G1388" s="2">
        <f>DAY(EOMONTH(TA[[#This Row],[Month Year]],0))</f>
        <v>31</v>
      </c>
      <c r="H1388" s="21">
        <v>45843</v>
      </c>
      <c r="I1388" s="41">
        <f>IFERROR(VLOOKUP(TA[[#This Row],[Date]],Raw_Data[[Date]:[Sunset Time (POA&lt;20 W/m2)]],3,0),"")</f>
        <v>0.24930555555555556</v>
      </c>
      <c r="J1388" s="41">
        <f>IFERROR(VLOOKUP(TA[[#This Row],[Date]],Raw_Data[[Date]:[Sunset Time (POA&lt;20 W/m2)]],4,0),"")</f>
        <v>0.77777777777777779</v>
      </c>
      <c r="K1388" s="35">
        <f>IFERROR((TA[[#This Row],[Sunset Time (POA&lt;20 W/m2)]]-TA[[#This Row],[Sunrise Time (POA&gt;20 W/m2)]])*24,"")</f>
        <v>12.683333333333334</v>
      </c>
      <c r="L1388" s="2" t="s">
        <v>294</v>
      </c>
      <c r="M1388" s="42">
        <f>IFERROR(VLOOKUP(TA[[#This Row],[Affected Equipment]],'Basic Data'!$I$2:$K$40,3,0),"")</f>
        <v>1.7241379310344799E-3</v>
      </c>
      <c r="N1388">
        <v>-28</v>
      </c>
      <c r="O1388" t="s">
        <v>133</v>
      </c>
      <c r="P1388" s="127" t="s">
        <v>316</v>
      </c>
      <c r="Q1388" s="126" t="s">
        <v>316</v>
      </c>
      <c r="R1388">
        <v>118</v>
      </c>
      <c r="S1388" s="2">
        <v>22</v>
      </c>
      <c r="T1388" t="s">
        <v>295</v>
      </c>
      <c r="U1388" t="s">
        <v>300</v>
      </c>
      <c r="V1388" t="s">
        <v>298</v>
      </c>
      <c r="W1388" s="41"/>
      <c r="X1388" s="41"/>
      <c r="Y1388" s="34"/>
      <c r="Z1388" s="34"/>
      <c r="AA1388" s="35">
        <f>IF(TA[[#This Row],[Work Start time on Fault]]="NA","",(TA[[#This Row],[Fault Acknowledgement Time ]]-TA[[#This Row],[Fault Time]])*24)</f>
        <v>0</v>
      </c>
      <c r="AB1388" s="35">
        <f>(TA[[#This Row],[Work Start time on Fault]]-TA[[#This Row],[Fault Time]])*24</f>
        <v>0</v>
      </c>
      <c r="AC1388" s="34">
        <f>(TA[[#This Row],[Work Completion time on fault]]-TA[[#This Row],[Fault Time]])*24</f>
        <v>0</v>
      </c>
      <c r="AD1388" s="35">
        <f>IFERROR((TA[[#This Row],[Work Completion time on fault]]-TA[[#This Row],[Fault Time]])*24,"")</f>
        <v>0</v>
      </c>
      <c r="AE1388" t="s">
        <v>328</v>
      </c>
      <c r="AF1388" t="s">
        <v>256</v>
      </c>
      <c r="AG1388" s="2"/>
      <c r="AH1388" s="44">
        <f>1-COS(RADIANS(TA[[#This Row],[Avg. Target Angle during Fault Time (Radians)]]-TA[[#This Row],[Angle of affected equipment ]]))</f>
        <v>0.11705240714107301</v>
      </c>
      <c r="AI1388" s="35">
        <f>IFERROR(TA[[#This Row],[Breakdown Time]]*TA[[#This Row],[Plant Equivalent Weightage]],"")</f>
        <v>0</v>
      </c>
    </row>
    <row r="1389" spans="1:35">
      <c r="A1389" s="2">
        <f t="shared" si="165"/>
        <v>1386</v>
      </c>
      <c r="B1389" s="156">
        <f t="shared" si="163"/>
        <v>2026</v>
      </c>
      <c r="C1389" s="129">
        <f t="shared" si="164"/>
        <v>2025</v>
      </c>
      <c r="D1389" s="2" t="s">
        <v>155</v>
      </c>
      <c r="E1389" s="2" t="s">
        <v>155</v>
      </c>
      <c r="F1389" s="39">
        <v>45839</v>
      </c>
      <c r="G1389" s="2">
        <f>DAY(EOMONTH(TA[[#This Row],[Month Year]],0))</f>
        <v>31</v>
      </c>
      <c r="H1389" s="21">
        <v>45843</v>
      </c>
      <c r="I1389" s="41">
        <f>IFERROR(VLOOKUP(TA[[#This Row],[Date]],Raw_Data[[Date]:[Sunset Time (POA&lt;20 W/m2)]],3,0),"")</f>
        <v>0.24930555555555556</v>
      </c>
      <c r="J1389" s="41">
        <f>IFERROR(VLOOKUP(TA[[#This Row],[Date]],Raw_Data[[Date]:[Sunset Time (POA&lt;20 W/m2)]],4,0),"")</f>
        <v>0.77777777777777779</v>
      </c>
      <c r="K1389" s="35">
        <f>IFERROR((TA[[#This Row],[Sunset Time (POA&lt;20 W/m2)]]-TA[[#This Row],[Sunrise Time (POA&gt;20 W/m2)]])*24,"")</f>
        <v>12.683333333333334</v>
      </c>
      <c r="L1389" s="2" t="s">
        <v>296</v>
      </c>
      <c r="M1389" s="42">
        <f>IFERROR(VLOOKUP(TA[[#This Row],[Affected Equipment]],'Basic Data'!$I$2:$K$40,3,0),"")</f>
        <v>8.6206896551724102E-3</v>
      </c>
      <c r="N1389">
        <v>-28</v>
      </c>
      <c r="O1389" t="s">
        <v>135</v>
      </c>
      <c r="P1389" s="22" t="s">
        <v>323</v>
      </c>
      <c r="Q1389" s="2" t="s">
        <v>329</v>
      </c>
      <c r="R1389">
        <v>45</v>
      </c>
      <c r="S1389" s="2">
        <v>8</v>
      </c>
      <c r="T1389" t="s">
        <v>297</v>
      </c>
      <c r="U1389" t="s">
        <v>300</v>
      </c>
      <c r="V1389" t="s">
        <v>301</v>
      </c>
      <c r="W1389" s="41"/>
      <c r="X1389" s="41"/>
      <c r="Y1389" s="34"/>
      <c r="Z1389" s="34"/>
      <c r="AA1389" s="35">
        <f>IF(TA[[#This Row],[Work Start time on Fault]]="NA","",(TA[[#This Row],[Fault Acknowledgement Time ]]-TA[[#This Row],[Fault Time]])*24)</f>
        <v>0</v>
      </c>
      <c r="AB1389" s="35">
        <f>(TA[[#This Row],[Work Start time on Fault]]-TA[[#This Row],[Fault Time]])*24</f>
        <v>0</v>
      </c>
      <c r="AC1389" s="34">
        <f>(TA[[#This Row],[Work Completion time on fault]]-TA[[#This Row],[Fault Time]])*24</f>
        <v>0</v>
      </c>
      <c r="AD1389" s="35">
        <f>IFERROR((TA[[#This Row],[Work Completion time on fault]]-TA[[#This Row],[Fault Time]])*24,"")</f>
        <v>0</v>
      </c>
      <c r="AE1389" t="s">
        <v>328</v>
      </c>
      <c r="AF1389" t="s">
        <v>256</v>
      </c>
      <c r="AG1389" s="2"/>
      <c r="AH1389" s="44">
        <f>1-COS(RADIANS(TA[[#This Row],[Avg. Target Angle during Fault Time (Radians)]]-TA[[#This Row],[Angle of affected equipment ]]))</f>
        <v>0.11705240714107301</v>
      </c>
      <c r="AI1389" s="35">
        <f>IFERROR(TA[[#This Row],[Breakdown Time]]*TA[[#This Row],[Plant Equivalent Weightage]],"")</f>
        <v>0</v>
      </c>
    </row>
    <row r="1390" spans="1:35">
      <c r="A1390" s="2">
        <f t="shared" si="165"/>
        <v>1387</v>
      </c>
      <c r="B1390" s="156">
        <f t="shared" si="163"/>
        <v>2026</v>
      </c>
      <c r="C1390" s="129">
        <f t="shared" si="164"/>
        <v>2025</v>
      </c>
      <c r="D1390" s="2" t="s">
        <v>155</v>
      </c>
      <c r="E1390" s="2" t="s">
        <v>155</v>
      </c>
      <c r="F1390" s="39">
        <v>45839</v>
      </c>
      <c r="G1390" s="2">
        <f>DAY(EOMONTH(TA[[#This Row],[Month Year]],0))</f>
        <v>31</v>
      </c>
      <c r="H1390" s="21">
        <v>45843</v>
      </c>
      <c r="I1390" s="41">
        <f>IFERROR(VLOOKUP(TA[[#This Row],[Date]],Raw_Data[[Date]:[Sunset Time (POA&lt;20 W/m2)]],3,0),"")</f>
        <v>0.24930555555555556</v>
      </c>
      <c r="J1390" s="41">
        <f>IFERROR(VLOOKUP(TA[[#This Row],[Date]],Raw_Data[[Date]:[Sunset Time (POA&lt;20 W/m2)]],4,0),"")</f>
        <v>0.77777777777777779</v>
      </c>
      <c r="K1390" s="35">
        <f>IFERROR((TA[[#This Row],[Sunset Time (POA&lt;20 W/m2)]]-TA[[#This Row],[Sunrise Time (POA&gt;20 W/m2)]])*24,"")</f>
        <v>12.683333333333334</v>
      </c>
      <c r="L1390" s="2" t="s">
        <v>296</v>
      </c>
      <c r="M1390" s="42">
        <f>IFERROR(VLOOKUP(TA[[#This Row],[Affected Equipment]],'Basic Data'!$I$2:$K$40,3,0),"")</f>
        <v>8.6206896551724102E-3</v>
      </c>
      <c r="N1390">
        <v>-28</v>
      </c>
      <c r="O1390" t="s">
        <v>135</v>
      </c>
      <c r="P1390" s="22" t="s">
        <v>323</v>
      </c>
      <c r="Q1390" s="2" t="s">
        <v>329</v>
      </c>
      <c r="R1390">
        <v>47</v>
      </c>
      <c r="S1390" s="2">
        <v>18</v>
      </c>
      <c r="T1390" t="s">
        <v>297</v>
      </c>
      <c r="U1390" t="s">
        <v>300</v>
      </c>
      <c r="V1390" t="s">
        <v>301</v>
      </c>
      <c r="W1390" s="41"/>
      <c r="X1390" s="41"/>
      <c r="Y1390" s="34"/>
      <c r="Z1390" s="34"/>
      <c r="AA1390" s="35">
        <f>IF(TA[[#This Row],[Work Start time on Fault]]="NA","",(TA[[#This Row],[Fault Acknowledgement Time ]]-TA[[#This Row],[Fault Time]])*24)</f>
        <v>0</v>
      </c>
      <c r="AB1390" s="35">
        <f>(TA[[#This Row],[Work Start time on Fault]]-TA[[#This Row],[Fault Time]])*24</f>
        <v>0</v>
      </c>
      <c r="AC1390" s="34">
        <f>(TA[[#This Row],[Work Completion time on fault]]-TA[[#This Row],[Fault Time]])*24</f>
        <v>0</v>
      </c>
      <c r="AD1390" s="35">
        <f>IFERROR((TA[[#This Row],[Work Completion time on fault]]-TA[[#This Row],[Fault Time]])*24,"")</f>
        <v>0</v>
      </c>
      <c r="AE1390" t="s">
        <v>328</v>
      </c>
      <c r="AF1390" t="s">
        <v>256</v>
      </c>
      <c r="AG1390" s="2"/>
      <c r="AH1390" s="44">
        <f>1-COS(RADIANS(TA[[#This Row],[Avg. Target Angle during Fault Time (Radians)]]-TA[[#This Row],[Angle of affected equipment ]]))</f>
        <v>0.11705240714107301</v>
      </c>
      <c r="AI1390" s="35">
        <f>IFERROR(TA[[#This Row],[Breakdown Time]]*TA[[#This Row],[Plant Equivalent Weightage]],"")</f>
        <v>0</v>
      </c>
    </row>
    <row r="1391" spans="1:35">
      <c r="A1391" s="2">
        <f t="shared" si="165"/>
        <v>1388</v>
      </c>
      <c r="B1391" s="156">
        <f t="shared" si="163"/>
        <v>2026</v>
      </c>
      <c r="C1391" s="129">
        <f t="shared" si="164"/>
        <v>2025</v>
      </c>
      <c r="D1391" s="2" t="s">
        <v>155</v>
      </c>
      <c r="E1391" s="2" t="s">
        <v>155</v>
      </c>
      <c r="F1391" s="39">
        <v>45839</v>
      </c>
      <c r="G1391" s="2">
        <f>DAY(EOMONTH(TA[[#This Row],[Month Year]],0))</f>
        <v>31</v>
      </c>
      <c r="H1391" s="21">
        <v>45843</v>
      </c>
      <c r="I1391" s="41">
        <f>IFERROR(VLOOKUP(TA[[#This Row],[Date]],Raw_Data[[Date]:[Sunset Time (POA&lt;20 W/m2)]],3,0),"")</f>
        <v>0.24930555555555556</v>
      </c>
      <c r="J1391" s="41">
        <f>IFERROR(VLOOKUP(TA[[#This Row],[Date]],Raw_Data[[Date]:[Sunset Time (POA&lt;20 W/m2)]],4,0),"")</f>
        <v>0.77777777777777779</v>
      </c>
      <c r="K1391" s="35">
        <f>IFERROR((TA[[#This Row],[Sunset Time (POA&lt;20 W/m2)]]-TA[[#This Row],[Sunrise Time (POA&gt;20 W/m2)]])*24,"")</f>
        <v>12.683333333333334</v>
      </c>
      <c r="L1391" s="2" t="s">
        <v>296</v>
      </c>
      <c r="M1391" s="42">
        <f>IFERROR(VLOOKUP(TA[[#This Row],[Affected Equipment]],'Basic Data'!$I$2:$K$40,3,0),"")</f>
        <v>8.6206896551724102E-3</v>
      </c>
      <c r="N1391">
        <v>-28</v>
      </c>
      <c r="O1391" t="s">
        <v>134</v>
      </c>
      <c r="P1391" s="22" t="s">
        <v>330</v>
      </c>
      <c r="Q1391" s="2" t="s">
        <v>323</v>
      </c>
      <c r="R1391">
        <v>30</v>
      </c>
      <c r="S1391" s="2">
        <v>57</v>
      </c>
      <c r="T1391" t="s">
        <v>297</v>
      </c>
      <c r="U1391" t="s">
        <v>300</v>
      </c>
      <c r="V1391" t="s">
        <v>301</v>
      </c>
      <c r="W1391" s="41"/>
      <c r="X1391" s="41"/>
      <c r="Y1391" s="34"/>
      <c r="Z1391" s="34"/>
      <c r="AA1391" s="35">
        <f>IF(TA[[#This Row],[Work Start time on Fault]]="NA","",(TA[[#This Row],[Fault Acknowledgement Time ]]-TA[[#This Row],[Fault Time]])*24)</f>
        <v>0</v>
      </c>
      <c r="AB1391" s="35">
        <f>(TA[[#This Row],[Work Start time on Fault]]-TA[[#This Row],[Fault Time]])*24</f>
        <v>0</v>
      </c>
      <c r="AC1391" s="34">
        <f>(TA[[#This Row],[Work Completion time on fault]]-TA[[#This Row],[Fault Time]])*24</f>
        <v>0</v>
      </c>
      <c r="AD1391" s="35">
        <f>IFERROR((TA[[#This Row],[Work Completion time on fault]]-TA[[#This Row],[Fault Time]])*24,"")</f>
        <v>0</v>
      </c>
      <c r="AE1391" t="s">
        <v>328</v>
      </c>
      <c r="AF1391" t="s">
        <v>256</v>
      </c>
      <c r="AG1391" s="2"/>
      <c r="AH1391" s="44">
        <f>1-COS(RADIANS(TA[[#This Row],[Avg. Target Angle during Fault Time (Radians)]]-TA[[#This Row],[Angle of affected equipment ]]))</f>
        <v>0.11705240714107301</v>
      </c>
      <c r="AI1391" s="35">
        <f>IFERROR(TA[[#This Row],[Breakdown Time]]*TA[[#This Row],[Plant Equivalent Weightage]],"")</f>
        <v>0</v>
      </c>
    </row>
    <row r="1392" spans="1:35">
      <c r="A1392" s="2">
        <f t="shared" si="165"/>
        <v>1389</v>
      </c>
      <c r="B1392" s="156">
        <f t="shared" si="163"/>
        <v>2026</v>
      </c>
      <c r="C1392" s="129">
        <f t="shared" si="164"/>
        <v>2025</v>
      </c>
      <c r="D1392" s="2" t="s">
        <v>155</v>
      </c>
      <c r="E1392" s="2" t="s">
        <v>155</v>
      </c>
      <c r="F1392" s="39">
        <v>45839</v>
      </c>
      <c r="G1392" s="2">
        <f>DAY(EOMONTH(TA[[#This Row],[Month Year]],0))</f>
        <v>31</v>
      </c>
      <c r="H1392" s="21">
        <v>45843</v>
      </c>
      <c r="I1392" s="41">
        <f>IFERROR(VLOOKUP(TA[[#This Row],[Date]],Raw_Data[[Date]:[Sunset Time (POA&lt;20 W/m2)]],3,0),"")</f>
        <v>0.24930555555555556</v>
      </c>
      <c r="J1392" s="41">
        <f>IFERROR(VLOOKUP(TA[[#This Row],[Date]],Raw_Data[[Date]:[Sunset Time (POA&lt;20 W/m2)]],4,0),"")</f>
        <v>0.77777777777777779</v>
      </c>
      <c r="K1392" s="35">
        <f>IFERROR((TA[[#This Row],[Sunset Time (POA&lt;20 W/m2)]]-TA[[#This Row],[Sunrise Time (POA&gt;20 W/m2)]])*24,"")</f>
        <v>12.683333333333334</v>
      </c>
      <c r="L1392" s="2" t="s">
        <v>296</v>
      </c>
      <c r="M1392" s="42">
        <f>IFERROR(VLOOKUP(TA[[#This Row],[Affected Equipment]],'Basic Data'!$I$2:$K$40,3,0),"")</f>
        <v>8.6206896551724102E-3</v>
      </c>
      <c r="N1392">
        <v>-28</v>
      </c>
      <c r="O1392" t="s">
        <v>134</v>
      </c>
      <c r="P1392" s="22" t="s">
        <v>330</v>
      </c>
      <c r="Q1392" s="2" t="s">
        <v>323</v>
      </c>
      <c r="R1392">
        <v>31</v>
      </c>
      <c r="S1392" s="2">
        <v>61</v>
      </c>
      <c r="T1392" t="s">
        <v>297</v>
      </c>
      <c r="U1392" t="s">
        <v>300</v>
      </c>
      <c r="V1392" t="s">
        <v>301</v>
      </c>
      <c r="W1392" s="41"/>
      <c r="X1392" s="41"/>
      <c r="Y1392" s="34"/>
      <c r="Z1392" s="34"/>
      <c r="AA1392" s="35">
        <f>IF(TA[[#This Row],[Work Start time on Fault]]="NA","",(TA[[#This Row],[Fault Acknowledgement Time ]]-TA[[#This Row],[Fault Time]])*24)</f>
        <v>0</v>
      </c>
      <c r="AB1392" s="35">
        <f>(TA[[#This Row],[Work Start time on Fault]]-TA[[#This Row],[Fault Time]])*24</f>
        <v>0</v>
      </c>
      <c r="AC1392" s="34">
        <f>(TA[[#This Row],[Work Completion time on fault]]-TA[[#This Row],[Fault Time]])*24</f>
        <v>0</v>
      </c>
      <c r="AD1392" s="35">
        <f>IFERROR((TA[[#This Row],[Work Completion time on fault]]-TA[[#This Row],[Fault Time]])*24,"")</f>
        <v>0</v>
      </c>
      <c r="AE1392" t="s">
        <v>328</v>
      </c>
      <c r="AF1392" t="s">
        <v>256</v>
      </c>
      <c r="AG1392" s="2"/>
      <c r="AH1392" s="44">
        <f>1-COS(RADIANS(TA[[#This Row],[Avg. Target Angle during Fault Time (Radians)]]-TA[[#This Row],[Angle of affected equipment ]]))</f>
        <v>0.11705240714107301</v>
      </c>
      <c r="AI1392" s="35">
        <f>IFERROR(TA[[#This Row],[Breakdown Time]]*TA[[#This Row],[Plant Equivalent Weightage]],"")</f>
        <v>0</v>
      </c>
    </row>
    <row r="1393" spans="1:35">
      <c r="A1393" s="2">
        <f t="shared" si="165"/>
        <v>1390</v>
      </c>
      <c r="B1393" s="156">
        <f t="shared" si="163"/>
        <v>2026</v>
      </c>
      <c r="C1393" s="129">
        <f t="shared" si="164"/>
        <v>2025</v>
      </c>
      <c r="D1393" s="2" t="s">
        <v>155</v>
      </c>
      <c r="E1393" s="2" t="s">
        <v>155</v>
      </c>
      <c r="F1393" s="39">
        <v>45839</v>
      </c>
      <c r="G1393" s="2">
        <f>DAY(EOMONTH(TA[[#This Row],[Month Year]],0))</f>
        <v>31</v>
      </c>
      <c r="H1393" s="21">
        <v>45843</v>
      </c>
      <c r="I1393" s="41">
        <f>IFERROR(VLOOKUP(TA[[#This Row],[Date]],Raw_Data[[Date]:[Sunset Time (POA&lt;20 W/m2)]],3,0),"")</f>
        <v>0.24930555555555556</v>
      </c>
      <c r="J1393" s="41">
        <f>IFERROR(VLOOKUP(TA[[#This Row],[Date]],Raw_Data[[Date]:[Sunset Time (POA&lt;20 W/m2)]],4,0),"")</f>
        <v>0.77777777777777779</v>
      </c>
      <c r="K1393" s="35">
        <f>IFERROR((TA[[#This Row],[Sunset Time (POA&lt;20 W/m2)]]-TA[[#This Row],[Sunrise Time (POA&gt;20 W/m2)]])*24,"")</f>
        <v>12.683333333333334</v>
      </c>
      <c r="L1393" s="2" t="s">
        <v>312</v>
      </c>
      <c r="M1393" s="42">
        <f>IFERROR(VLOOKUP(TA[[#This Row],[Affected Equipment]],'Basic Data'!$I$2:$K$40,3,0),"")</f>
        <v>5.74712643678161E-3</v>
      </c>
      <c r="N1393">
        <v>-28</v>
      </c>
      <c r="O1393" t="s">
        <v>133</v>
      </c>
      <c r="P1393" s="22" t="s">
        <v>330</v>
      </c>
      <c r="Q1393" s="2" t="s">
        <v>323</v>
      </c>
      <c r="R1393">
        <v>26</v>
      </c>
      <c r="S1393" s="2">
        <v>37</v>
      </c>
      <c r="T1393" t="s">
        <v>297</v>
      </c>
      <c r="U1393" t="s">
        <v>300</v>
      </c>
      <c r="V1393" t="s">
        <v>301</v>
      </c>
      <c r="W1393" s="41"/>
      <c r="X1393" s="41"/>
      <c r="Y1393" s="34"/>
      <c r="Z1393" s="34"/>
      <c r="AA1393" s="35">
        <f>IF(TA[[#This Row],[Work Start time on Fault]]="NA","",(TA[[#This Row],[Fault Acknowledgement Time ]]-TA[[#This Row],[Fault Time]])*24)</f>
        <v>0</v>
      </c>
      <c r="AB1393" s="35">
        <f>(TA[[#This Row],[Work Start time on Fault]]-TA[[#This Row],[Fault Time]])*24</f>
        <v>0</v>
      </c>
      <c r="AC1393" s="34">
        <f>(TA[[#This Row],[Work Completion time on fault]]-TA[[#This Row],[Fault Time]])*24</f>
        <v>0</v>
      </c>
      <c r="AD1393" s="35">
        <f>IFERROR((TA[[#This Row],[Work Completion time on fault]]-TA[[#This Row],[Fault Time]])*24,"")</f>
        <v>0</v>
      </c>
      <c r="AE1393" t="s">
        <v>328</v>
      </c>
      <c r="AF1393" t="s">
        <v>256</v>
      </c>
      <c r="AG1393" s="2"/>
      <c r="AH1393" s="44">
        <f>1-COS(RADIANS(TA[[#This Row],[Avg. Target Angle during Fault Time (Radians)]]-TA[[#This Row],[Angle of affected equipment ]]))</f>
        <v>0.11705240714107301</v>
      </c>
      <c r="AI1393" s="35">
        <f>IFERROR(TA[[#This Row],[Breakdown Time]]*TA[[#This Row],[Plant Equivalent Weightage]],"")</f>
        <v>0</v>
      </c>
    </row>
    <row r="1394" spans="1:35">
      <c r="A1394" s="2">
        <f t="shared" si="165"/>
        <v>1391</v>
      </c>
      <c r="B1394" s="156">
        <f t="shared" si="163"/>
        <v>2026</v>
      </c>
      <c r="C1394" s="129">
        <f t="shared" si="164"/>
        <v>2025</v>
      </c>
      <c r="D1394" s="2" t="s">
        <v>155</v>
      </c>
      <c r="E1394" s="2" t="s">
        <v>155</v>
      </c>
      <c r="F1394" s="39">
        <v>45839</v>
      </c>
      <c r="G1394" s="2">
        <f>DAY(EOMONTH(TA[[#This Row],[Month Year]],0))</f>
        <v>31</v>
      </c>
      <c r="H1394" s="21">
        <v>45843</v>
      </c>
      <c r="I1394" s="41">
        <f>IFERROR(VLOOKUP(TA[[#This Row],[Date]],Raw_Data[[Date]:[Sunset Time (POA&lt;20 W/m2)]],3,0),"")</f>
        <v>0.24930555555555556</v>
      </c>
      <c r="J1394" s="41">
        <f>IFERROR(VLOOKUP(TA[[#This Row],[Date]],Raw_Data[[Date]:[Sunset Time (POA&lt;20 W/m2)]],4,0),"")</f>
        <v>0.77777777777777779</v>
      </c>
      <c r="K1394" s="35">
        <f>IFERROR((TA[[#This Row],[Sunset Time (POA&lt;20 W/m2)]]-TA[[#This Row],[Sunrise Time (POA&gt;20 W/m2)]])*24,"")</f>
        <v>12.683333333333334</v>
      </c>
      <c r="L1394" s="2" t="s">
        <v>312</v>
      </c>
      <c r="M1394" s="42">
        <f>IFERROR(VLOOKUP(TA[[#This Row],[Affected Equipment]],'Basic Data'!$I$2:$K$40,3,0),"")</f>
        <v>5.74712643678161E-3</v>
      </c>
      <c r="N1394">
        <v>-28</v>
      </c>
      <c r="O1394" t="s">
        <v>133</v>
      </c>
      <c r="P1394" s="22" t="s">
        <v>330</v>
      </c>
      <c r="Q1394" s="2" t="s">
        <v>323</v>
      </c>
      <c r="R1394">
        <v>27</v>
      </c>
      <c r="S1394" s="2">
        <v>42</v>
      </c>
      <c r="T1394" t="s">
        <v>297</v>
      </c>
      <c r="U1394" t="s">
        <v>300</v>
      </c>
      <c r="V1394" t="s">
        <v>301</v>
      </c>
      <c r="W1394" s="41">
        <f>IFERROR(VLOOKUP(TA[[#This Row],[Date]],Raw_Data[[Date]:[Sunset Time (POA&lt;20 W/m2)]],3,0),"")</f>
        <v>0.24930555555555556</v>
      </c>
      <c r="X1394" s="41">
        <f>IFERROR(VLOOKUP(TA[[#This Row],[Date]],Raw_Data[[Date]:[Sunset Time (POA&lt;20 W/m2)]],3,0),"")</f>
        <v>0.24930555555555556</v>
      </c>
      <c r="Y1394" s="34"/>
      <c r="Z1394" s="34">
        <v>0.76041666666666663</v>
      </c>
      <c r="AA1394" s="35">
        <f>IF(TA[[#This Row],[Work Start time on Fault]]="NA","",(TA[[#This Row],[Fault Acknowledgement Time ]]-TA[[#This Row],[Fault Time]])*24)</f>
        <v>0</v>
      </c>
      <c r="AB1394" s="35">
        <f>(TA[[#This Row],[Work Start time on Fault]]-TA[[#This Row],[Fault Time]])*24</f>
        <v>-5.9833333333333334</v>
      </c>
      <c r="AC1394" s="34">
        <f>(TA[[#This Row],[Work Completion time on fault]]-TA[[#This Row],[Fault Time]])*24</f>
        <v>12.266666666666666</v>
      </c>
      <c r="AD1394" s="35">
        <f>IFERROR((TA[[#This Row],[Work Completion time on fault]]-TA[[#This Row],[Fault Time]])*24,"")</f>
        <v>12.266666666666666</v>
      </c>
      <c r="AE1394" t="s">
        <v>309</v>
      </c>
      <c r="AF1394" t="s">
        <v>256</v>
      </c>
      <c r="AG1394" s="2"/>
      <c r="AH1394" s="44">
        <f>1-COS(RADIANS(TA[[#This Row],[Avg. Target Angle during Fault Time (Radians)]]-TA[[#This Row],[Angle of affected equipment ]]))</f>
        <v>0.11705240714107301</v>
      </c>
      <c r="AI1394" s="35">
        <f>IFERROR(TA[[#This Row],[Breakdown Time]]*TA[[#This Row],[Plant Equivalent Weightage]],"")</f>
        <v>7.0498084291187743E-2</v>
      </c>
    </row>
    <row r="1395" spans="1:35">
      <c r="A1395" s="2">
        <f t="shared" si="165"/>
        <v>1392</v>
      </c>
      <c r="B1395" s="156">
        <f t="shared" ref="B1395:B1407" si="166">YEAR(H1395)+IF(MONTH(H1395)&gt;=4,1,0)</f>
        <v>2026</v>
      </c>
      <c r="C1395" s="129">
        <f t="shared" ref="C1395:C1407" si="167">YEAR(H1395)</f>
        <v>2025</v>
      </c>
      <c r="D1395" s="2" t="s">
        <v>155</v>
      </c>
      <c r="E1395" s="2" t="s">
        <v>155</v>
      </c>
      <c r="F1395" s="39">
        <v>45839</v>
      </c>
      <c r="G1395" s="2">
        <f>DAY(EOMONTH(TA[[#This Row],[Month Year]],0))</f>
        <v>31</v>
      </c>
      <c r="H1395" s="21">
        <v>45844</v>
      </c>
      <c r="I1395" s="41">
        <f>IFERROR(VLOOKUP(TA[[#This Row],[Date]],Raw_Data[[Date]:[Sunset Time (POA&lt;20 W/m2)]],3,0),"")</f>
        <v>0.26041666666666669</v>
      </c>
      <c r="J1395" s="41">
        <f>IFERROR(VLOOKUP(TA[[#This Row],[Date]],Raw_Data[[Date]:[Sunset Time (POA&lt;20 W/m2)]],4,0),"")</f>
        <v>0.77777777777777779</v>
      </c>
      <c r="K1395" s="35">
        <f>IFERROR((TA[[#This Row],[Sunset Time (POA&lt;20 W/m2)]]-TA[[#This Row],[Sunrise Time (POA&gt;20 W/m2)]])*24,"")</f>
        <v>12.416666666666668</v>
      </c>
      <c r="L1395" s="2" t="s">
        <v>294</v>
      </c>
      <c r="M1395" s="42">
        <f>IFERROR(VLOOKUP(TA[[#This Row],[Affected Equipment]],'Basic Data'!$I$2:$K$40,3,0),"")</f>
        <v>1.7241379310344799E-3</v>
      </c>
      <c r="N1395">
        <v>-28</v>
      </c>
      <c r="O1395" t="s">
        <v>135</v>
      </c>
      <c r="P1395" s="127" t="s">
        <v>318</v>
      </c>
      <c r="Q1395" s="126" t="s">
        <v>318</v>
      </c>
      <c r="R1395">
        <v>131</v>
      </c>
      <c r="S1395" s="2">
        <v>38</v>
      </c>
      <c r="T1395" t="s">
        <v>295</v>
      </c>
      <c r="U1395" t="s">
        <v>300</v>
      </c>
      <c r="V1395" t="s">
        <v>298</v>
      </c>
      <c r="W1395" s="41"/>
      <c r="X1395" s="41"/>
      <c r="Y1395" s="34"/>
      <c r="Z1395" s="34"/>
      <c r="AA1395" s="35">
        <f>IF(TA[[#This Row],[Work Start time on Fault]]="NA","",(TA[[#This Row],[Fault Acknowledgement Time ]]-TA[[#This Row],[Fault Time]])*24)</f>
        <v>0</v>
      </c>
      <c r="AB1395" s="35">
        <f>(TA[[#This Row],[Work Start time on Fault]]-TA[[#This Row],[Fault Time]])*24</f>
        <v>0</v>
      </c>
      <c r="AC1395" s="34">
        <f>(TA[[#This Row],[Work Completion time on fault]]-TA[[#This Row],[Fault Time]])*24</f>
        <v>0</v>
      </c>
      <c r="AD1395" s="35">
        <f>IFERROR((TA[[#This Row],[Work Completion time on fault]]-TA[[#This Row],[Fault Time]])*24,"")</f>
        <v>0</v>
      </c>
      <c r="AE1395" t="s">
        <v>328</v>
      </c>
      <c r="AF1395" t="s">
        <v>256</v>
      </c>
      <c r="AG1395" s="2"/>
      <c r="AH1395" s="44">
        <f>1-COS(RADIANS(TA[[#This Row],[Avg. Target Angle during Fault Time (Radians)]]-TA[[#This Row],[Angle of affected equipment ]]))</f>
        <v>0.11705240714107301</v>
      </c>
      <c r="AI1395" s="35">
        <f>IFERROR(TA[[#This Row],[Breakdown Time]]*TA[[#This Row],[Plant Equivalent Weightage]],"")</f>
        <v>0</v>
      </c>
    </row>
    <row r="1396" spans="1:35">
      <c r="A1396" s="2">
        <f t="shared" si="165"/>
        <v>1393</v>
      </c>
      <c r="B1396" s="156">
        <f t="shared" si="166"/>
        <v>2026</v>
      </c>
      <c r="C1396" s="129">
        <f t="shared" si="167"/>
        <v>2025</v>
      </c>
      <c r="D1396" s="2" t="s">
        <v>155</v>
      </c>
      <c r="E1396" s="2" t="s">
        <v>155</v>
      </c>
      <c r="F1396" s="39">
        <v>45839</v>
      </c>
      <c r="G1396" s="2">
        <f>DAY(EOMONTH(TA[[#This Row],[Month Year]],0))</f>
        <v>31</v>
      </c>
      <c r="H1396" s="21">
        <v>45844</v>
      </c>
      <c r="I1396" s="41">
        <f>IFERROR(VLOOKUP(TA[[#This Row],[Date]],Raw_Data[[Date]:[Sunset Time (POA&lt;20 W/m2)]],3,0),"")</f>
        <v>0.26041666666666669</v>
      </c>
      <c r="J1396" s="41">
        <f>IFERROR(VLOOKUP(TA[[#This Row],[Date]],Raw_Data[[Date]:[Sunset Time (POA&lt;20 W/m2)]],4,0),"")</f>
        <v>0.77777777777777779</v>
      </c>
      <c r="K1396" s="35">
        <f>IFERROR((TA[[#This Row],[Sunset Time (POA&lt;20 W/m2)]]-TA[[#This Row],[Sunrise Time (POA&gt;20 W/m2)]])*24,"")</f>
        <v>12.416666666666668</v>
      </c>
      <c r="L1396" s="2" t="s">
        <v>294</v>
      </c>
      <c r="M1396" s="42">
        <f>IFERROR(VLOOKUP(TA[[#This Row],[Affected Equipment]],'Basic Data'!$I$2:$K$40,3,0),"")</f>
        <v>1.7241379310344799E-3</v>
      </c>
      <c r="N1396">
        <v>-28</v>
      </c>
      <c r="O1396" t="s">
        <v>135</v>
      </c>
      <c r="P1396" s="127" t="s">
        <v>318</v>
      </c>
      <c r="Q1396" s="126" t="s">
        <v>318</v>
      </c>
      <c r="R1396">
        <v>131</v>
      </c>
      <c r="S1396" s="2">
        <v>39</v>
      </c>
      <c r="T1396" t="s">
        <v>295</v>
      </c>
      <c r="U1396" t="s">
        <v>300</v>
      </c>
      <c r="V1396" t="s">
        <v>298</v>
      </c>
      <c r="W1396" s="41"/>
      <c r="X1396" s="41"/>
      <c r="Y1396" s="34"/>
      <c r="Z1396" s="34"/>
      <c r="AA1396" s="35">
        <f>IF(TA[[#This Row],[Work Start time on Fault]]="NA","",(TA[[#This Row],[Fault Acknowledgement Time ]]-TA[[#This Row],[Fault Time]])*24)</f>
        <v>0</v>
      </c>
      <c r="AB1396" s="35">
        <f>(TA[[#This Row],[Work Start time on Fault]]-TA[[#This Row],[Fault Time]])*24</f>
        <v>0</v>
      </c>
      <c r="AC1396" s="34">
        <f>(TA[[#This Row],[Work Completion time on fault]]-TA[[#This Row],[Fault Time]])*24</f>
        <v>0</v>
      </c>
      <c r="AD1396" s="35">
        <f>IFERROR((TA[[#This Row],[Work Completion time on fault]]-TA[[#This Row],[Fault Time]])*24,"")</f>
        <v>0</v>
      </c>
      <c r="AE1396" t="s">
        <v>328</v>
      </c>
      <c r="AF1396" t="s">
        <v>256</v>
      </c>
      <c r="AG1396" s="2"/>
      <c r="AH1396" s="44">
        <f>1-COS(RADIANS(TA[[#This Row],[Avg. Target Angle during Fault Time (Radians)]]-TA[[#This Row],[Angle of affected equipment ]]))</f>
        <v>0.11705240714107301</v>
      </c>
      <c r="AI1396" s="35">
        <f>IFERROR(TA[[#This Row],[Breakdown Time]]*TA[[#This Row],[Plant Equivalent Weightage]],"")</f>
        <v>0</v>
      </c>
    </row>
    <row r="1397" spans="1:35">
      <c r="A1397" s="2">
        <f t="shared" si="165"/>
        <v>1394</v>
      </c>
      <c r="B1397" s="156">
        <f t="shared" si="166"/>
        <v>2026</v>
      </c>
      <c r="C1397" s="129">
        <f t="shared" si="167"/>
        <v>2025</v>
      </c>
      <c r="D1397" s="2" t="s">
        <v>155</v>
      </c>
      <c r="E1397" s="2" t="s">
        <v>155</v>
      </c>
      <c r="F1397" s="39">
        <v>45839</v>
      </c>
      <c r="G1397" s="2">
        <f>DAY(EOMONTH(TA[[#This Row],[Month Year]],0))</f>
        <v>31</v>
      </c>
      <c r="H1397" s="21">
        <v>45844</v>
      </c>
      <c r="I1397" s="41">
        <f>IFERROR(VLOOKUP(TA[[#This Row],[Date]],Raw_Data[[Date]:[Sunset Time (POA&lt;20 W/m2)]],3,0),"")</f>
        <v>0.26041666666666669</v>
      </c>
      <c r="J1397" s="41">
        <f>IFERROR(VLOOKUP(TA[[#This Row],[Date]],Raw_Data[[Date]:[Sunset Time (POA&lt;20 W/m2)]],4,0),"")</f>
        <v>0.77777777777777779</v>
      </c>
      <c r="K1397" s="35">
        <f>IFERROR((TA[[#This Row],[Sunset Time (POA&lt;20 W/m2)]]-TA[[#This Row],[Sunrise Time (POA&gt;20 W/m2)]])*24,"")</f>
        <v>12.416666666666668</v>
      </c>
      <c r="L1397" s="2" t="s">
        <v>296</v>
      </c>
      <c r="M1397" s="42">
        <f>IFERROR(VLOOKUP(TA[[#This Row],[Affected Equipment]],'Basic Data'!$I$2:$K$40,3,0),"")</f>
        <v>8.6206896551724102E-3</v>
      </c>
      <c r="N1397">
        <v>-28</v>
      </c>
      <c r="O1397" t="s">
        <v>135</v>
      </c>
      <c r="P1397" s="127" t="s">
        <v>318</v>
      </c>
      <c r="Q1397" s="2" t="s">
        <v>321</v>
      </c>
      <c r="R1397">
        <v>133</v>
      </c>
      <c r="S1397" s="2">
        <v>26</v>
      </c>
      <c r="T1397" t="s">
        <v>297</v>
      </c>
      <c r="U1397" t="s">
        <v>300</v>
      </c>
      <c r="V1397" t="s">
        <v>314</v>
      </c>
      <c r="W1397" s="41">
        <f>IFERROR(VLOOKUP(TA[[#This Row],[Date]],Raw_Data[[Date]:[Sunset Time (POA&lt;20 W/m2)]],3,0),"")</f>
        <v>0.26041666666666669</v>
      </c>
      <c r="X1397" s="41">
        <f>IFERROR(VLOOKUP(TA[[#This Row],[Date]],Raw_Data[[Date]:[Sunset Time (POA&lt;20 W/m2)]],3,0),"")</f>
        <v>0.26041666666666669</v>
      </c>
      <c r="Y1397" s="34"/>
      <c r="Z1397" s="34">
        <v>0.76041666666666663</v>
      </c>
      <c r="AA1397" s="35">
        <f>IF(TA[[#This Row],[Work Start time on Fault]]="NA","",(TA[[#This Row],[Fault Acknowledgement Time ]]-TA[[#This Row],[Fault Time]])*24)</f>
        <v>0</v>
      </c>
      <c r="AB1397" s="35">
        <f>(TA[[#This Row],[Work Start time on Fault]]-TA[[#This Row],[Fault Time]])*24</f>
        <v>-6.25</v>
      </c>
      <c r="AC1397" s="34">
        <f>(TA[[#This Row],[Work Completion time on fault]]-TA[[#This Row],[Fault Time]])*24</f>
        <v>11.999999999999998</v>
      </c>
      <c r="AD1397" s="35">
        <f>IFERROR((TA[[#This Row],[Work Completion time on fault]]-TA[[#This Row],[Fault Time]])*24,"")</f>
        <v>11.999999999999998</v>
      </c>
      <c r="AE1397" t="s">
        <v>328</v>
      </c>
      <c r="AF1397" t="s">
        <v>256</v>
      </c>
      <c r="AG1397" s="2"/>
      <c r="AH1397" s="44">
        <f>1-COS(RADIANS(TA[[#This Row],[Avg. Target Angle during Fault Time (Radians)]]-TA[[#This Row],[Angle of affected equipment ]]))</f>
        <v>0.11705240714107301</v>
      </c>
      <c r="AI1397" s="35">
        <f>IFERROR(TA[[#This Row],[Breakdown Time]]*TA[[#This Row],[Plant Equivalent Weightage]],"")</f>
        <v>0.10344827586206891</v>
      </c>
    </row>
    <row r="1398" spans="1:35">
      <c r="A1398" s="2">
        <f t="shared" si="165"/>
        <v>1395</v>
      </c>
      <c r="B1398" s="156">
        <f t="shared" si="166"/>
        <v>2026</v>
      </c>
      <c r="C1398" s="129">
        <f t="shared" si="167"/>
        <v>2025</v>
      </c>
      <c r="D1398" s="2" t="s">
        <v>155</v>
      </c>
      <c r="E1398" s="2" t="s">
        <v>155</v>
      </c>
      <c r="F1398" s="39">
        <v>45839</v>
      </c>
      <c r="G1398" s="2">
        <f>DAY(EOMONTH(TA[[#This Row],[Month Year]],0))</f>
        <v>31</v>
      </c>
      <c r="H1398" s="21">
        <v>45844</v>
      </c>
      <c r="I1398" s="41">
        <f>IFERROR(VLOOKUP(TA[[#This Row],[Date]],Raw_Data[[Date]:[Sunset Time (POA&lt;20 W/m2)]],3,0),"")</f>
        <v>0.26041666666666669</v>
      </c>
      <c r="J1398" s="41">
        <f>IFERROR(VLOOKUP(TA[[#This Row],[Date]],Raw_Data[[Date]:[Sunset Time (POA&lt;20 W/m2)]],4,0),"")</f>
        <v>0.77777777777777779</v>
      </c>
      <c r="K1398" s="35">
        <f>IFERROR((TA[[#This Row],[Sunset Time (POA&lt;20 W/m2)]]-TA[[#This Row],[Sunrise Time (POA&gt;20 W/m2)]])*24,"")</f>
        <v>12.416666666666668</v>
      </c>
      <c r="L1398" s="2" t="s">
        <v>294</v>
      </c>
      <c r="M1398" s="42">
        <f>IFERROR(VLOOKUP(TA[[#This Row],[Affected Equipment]],'Basic Data'!$I$2:$K$40,3,0),"")</f>
        <v>1.7241379310344799E-3</v>
      </c>
      <c r="N1398">
        <v>-28</v>
      </c>
      <c r="O1398" t="s">
        <v>133</v>
      </c>
      <c r="P1398" s="127" t="s">
        <v>316</v>
      </c>
      <c r="Q1398" s="126" t="s">
        <v>317</v>
      </c>
      <c r="R1398">
        <v>7</v>
      </c>
      <c r="S1398" s="2">
        <v>32</v>
      </c>
      <c r="T1398" t="s">
        <v>295</v>
      </c>
      <c r="U1398" t="s">
        <v>300</v>
      </c>
      <c r="V1398" t="s">
        <v>298</v>
      </c>
      <c r="W1398" s="41"/>
      <c r="X1398" s="41"/>
      <c r="Y1398" s="34"/>
      <c r="Z1398" s="34"/>
      <c r="AA1398" s="35">
        <f>IF(TA[[#This Row],[Work Start time on Fault]]="NA","",(TA[[#This Row],[Fault Acknowledgement Time ]]-TA[[#This Row],[Fault Time]])*24)</f>
        <v>0</v>
      </c>
      <c r="AB1398" s="35">
        <f>(TA[[#This Row],[Work Start time on Fault]]-TA[[#This Row],[Fault Time]])*24</f>
        <v>0</v>
      </c>
      <c r="AC1398" s="34">
        <f>(TA[[#This Row],[Work Completion time on fault]]-TA[[#This Row],[Fault Time]])*24</f>
        <v>0</v>
      </c>
      <c r="AD1398" s="35">
        <f>IFERROR((TA[[#This Row],[Work Completion time on fault]]-TA[[#This Row],[Fault Time]])*24,"")</f>
        <v>0</v>
      </c>
      <c r="AE1398" t="s">
        <v>328</v>
      </c>
      <c r="AF1398" t="s">
        <v>256</v>
      </c>
      <c r="AG1398" s="2"/>
      <c r="AH1398" s="44">
        <f>1-COS(RADIANS(TA[[#This Row],[Avg. Target Angle during Fault Time (Radians)]]-TA[[#This Row],[Angle of affected equipment ]]))</f>
        <v>0.11705240714107301</v>
      </c>
      <c r="AI1398" s="35">
        <f>IFERROR(TA[[#This Row],[Breakdown Time]]*TA[[#This Row],[Plant Equivalent Weightage]],"")</f>
        <v>0</v>
      </c>
    </row>
    <row r="1399" spans="1:35">
      <c r="A1399" s="2">
        <f t="shared" si="165"/>
        <v>1396</v>
      </c>
      <c r="B1399" s="156">
        <f t="shared" si="166"/>
        <v>2026</v>
      </c>
      <c r="C1399" s="129">
        <f t="shared" si="167"/>
        <v>2025</v>
      </c>
      <c r="D1399" s="2" t="s">
        <v>155</v>
      </c>
      <c r="E1399" s="2" t="s">
        <v>155</v>
      </c>
      <c r="F1399" s="39">
        <v>45839</v>
      </c>
      <c r="G1399" s="2">
        <f>DAY(EOMONTH(TA[[#This Row],[Month Year]],0))</f>
        <v>31</v>
      </c>
      <c r="H1399" s="21">
        <v>45844</v>
      </c>
      <c r="I1399" s="41">
        <f>IFERROR(VLOOKUP(TA[[#This Row],[Date]],Raw_Data[[Date]:[Sunset Time (POA&lt;20 W/m2)]],3,0),"")</f>
        <v>0.26041666666666669</v>
      </c>
      <c r="J1399" s="41">
        <f>IFERROR(VLOOKUP(TA[[#This Row],[Date]],Raw_Data[[Date]:[Sunset Time (POA&lt;20 W/m2)]],4,0),"")</f>
        <v>0.77777777777777779</v>
      </c>
      <c r="K1399" s="35">
        <f>IFERROR((TA[[#This Row],[Sunset Time (POA&lt;20 W/m2)]]-TA[[#This Row],[Sunrise Time (POA&gt;20 W/m2)]])*24,"")</f>
        <v>12.416666666666668</v>
      </c>
      <c r="L1399" s="2" t="s">
        <v>294</v>
      </c>
      <c r="M1399" s="42">
        <f>IFERROR(VLOOKUP(TA[[#This Row],[Affected Equipment]],'Basic Data'!$I$2:$K$40,3,0),"")</f>
        <v>1.7241379310344799E-3</v>
      </c>
      <c r="N1399">
        <v>-28</v>
      </c>
      <c r="O1399" t="s">
        <v>137</v>
      </c>
      <c r="P1399" s="127" t="s">
        <v>315</v>
      </c>
      <c r="Q1399" s="126" t="s">
        <v>319</v>
      </c>
      <c r="R1399">
        <v>166</v>
      </c>
      <c r="S1399" s="2">
        <v>91</v>
      </c>
      <c r="T1399" t="s">
        <v>295</v>
      </c>
      <c r="U1399" t="s">
        <v>300</v>
      </c>
      <c r="V1399" t="s">
        <v>298</v>
      </c>
      <c r="W1399" s="41"/>
      <c r="X1399" s="41"/>
      <c r="Y1399" s="34"/>
      <c r="Z1399" s="34"/>
      <c r="AA1399" s="35">
        <f>IF(TA[[#This Row],[Work Start time on Fault]]="NA","",(TA[[#This Row],[Fault Acknowledgement Time ]]-TA[[#This Row],[Fault Time]])*24)</f>
        <v>0</v>
      </c>
      <c r="AB1399" s="35">
        <f>(TA[[#This Row],[Work Start time on Fault]]-TA[[#This Row],[Fault Time]])*24</f>
        <v>0</v>
      </c>
      <c r="AC1399" s="34">
        <f>(TA[[#This Row],[Work Completion time on fault]]-TA[[#This Row],[Fault Time]])*24</f>
        <v>0</v>
      </c>
      <c r="AD1399" s="35">
        <f>IFERROR((TA[[#This Row],[Work Completion time on fault]]-TA[[#This Row],[Fault Time]])*24,"")</f>
        <v>0</v>
      </c>
      <c r="AE1399" t="s">
        <v>328</v>
      </c>
      <c r="AF1399" t="s">
        <v>256</v>
      </c>
      <c r="AG1399" s="2"/>
      <c r="AH1399" s="44">
        <f>1-COS(RADIANS(TA[[#This Row],[Avg. Target Angle during Fault Time (Radians)]]-TA[[#This Row],[Angle of affected equipment ]]))</f>
        <v>0.11705240714107301</v>
      </c>
      <c r="AI1399" s="35">
        <f>IFERROR(TA[[#This Row],[Breakdown Time]]*TA[[#This Row],[Plant Equivalent Weightage]],"")</f>
        <v>0</v>
      </c>
    </row>
    <row r="1400" spans="1:35">
      <c r="A1400" s="2">
        <f t="shared" si="165"/>
        <v>1397</v>
      </c>
      <c r="B1400" s="156">
        <f t="shared" si="166"/>
        <v>2026</v>
      </c>
      <c r="C1400" s="129">
        <f t="shared" si="167"/>
        <v>2025</v>
      </c>
      <c r="D1400" s="2" t="s">
        <v>155</v>
      </c>
      <c r="E1400" s="2" t="s">
        <v>155</v>
      </c>
      <c r="F1400" s="39">
        <v>45839</v>
      </c>
      <c r="G1400" s="2">
        <f>DAY(EOMONTH(TA[[#This Row],[Month Year]],0))</f>
        <v>31</v>
      </c>
      <c r="H1400" s="21">
        <v>45844</v>
      </c>
      <c r="I1400" s="41">
        <f>IFERROR(VLOOKUP(TA[[#This Row],[Date]],Raw_Data[[Date]:[Sunset Time (POA&lt;20 W/m2)]],3,0),"")</f>
        <v>0.26041666666666669</v>
      </c>
      <c r="J1400" s="41">
        <f>IFERROR(VLOOKUP(TA[[#This Row],[Date]],Raw_Data[[Date]:[Sunset Time (POA&lt;20 W/m2)]],4,0),"")</f>
        <v>0.77777777777777779</v>
      </c>
      <c r="K1400" s="35">
        <f>IFERROR((TA[[#This Row],[Sunset Time (POA&lt;20 W/m2)]]-TA[[#This Row],[Sunrise Time (POA&gt;20 W/m2)]])*24,"")</f>
        <v>12.416666666666668</v>
      </c>
      <c r="L1400" s="2" t="s">
        <v>294</v>
      </c>
      <c r="M1400" s="42">
        <f>IFERROR(VLOOKUP(TA[[#This Row],[Affected Equipment]],'Basic Data'!$I$2:$K$40,3,0),"")</f>
        <v>1.7241379310344799E-3</v>
      </c>
      <c r="N1400">
        <v>-28</v>
      </c>
      <c r="O1400" t="s">
        <v>133</v>
      </c>
      <c r="P1400" s="127" t="s">
        <v>316</v>
      </c>
      <c r="Q1400" s="126" t="s">
        <v>316</v>
      </c>
      <c r="R1400">
        <v>117</v>
      </c>
      <c r="S1400" s="2">
        <v>20</v>
      </c>
      <c r="T1400" t="s">
        <v>295</v>
      </c>
      <c r="U1400" t="s">
        <v>300</v>
      </c>
      <c r="V1400" t="s">
        <v>298</v>
      </c>
      <c r="W1400" s="41"/>
      <c r="X1400" s="41"/>
      <c r="Y1400" s="34"/>
      <c r="Z1400" s="34"/>
      <c r="AA1400" s="35">
        <f>IF(TA[[#This Row],[Work Start time on Fault]]="NA","",(TA[[#This Row],[Fault Acknowledgement Time ]]-TA[[#This Row],[Fault Time]])*24)</f>
        <v>0</v>
      </c>
      <c r="AB1400" s="35">
        <f>(TA[[#This Row],[Work Start time on Fault]]-TA[[#This Row],[Fault Time]])*24</f>
        <v>0</v>
      </c>
      <c r="AC1400" s="34">
        <f>(TA[[#This Row],[Work Completion time on fault]]-TA[[#This Row],[Fault Time]])*24</f>
        <v>0</v>
      </c>
      <c r="AD1400" s="35">
        <f>IFERROR((TA[[#This Row],[Work Completion time on fault]]-TA[[#This Row],[Fault Time]])*24,"")</f>
        <v>0</v>
      </c>
      <c r="AE1400" t="s">
        <v>328</v>
      </c>
      <c r="AF1400" t="s">
        <v>256</v>
      </c>
      <c r="AG1400" s="2"/>
      <c r="AH1400" s="44">
        <f>1-COS(RADIANS(TA[[#This Row],[Avg. Target Angle during Fault Time (Radians)]]-TA[[#This Row],[Angle of affected equipment ]]))</f>
        <v>0.11705240714107301</v>
      </c>
      <c r="AI1400" s="35">
        <f>IFERROR(TA[[#This Row],[Breakdown Time]]*TA[[#This Row],[Plant Equivalent Weightage]],"")</f>
        <v>0</v>
      </c>
    </row>
    <row r="1401" spans="1:35">
      <c r="A1401" s="2">
        <f t="shared" si="165"/>
        <v>1398</v>
      </c>
      <c r="B1401" s="156">
        <f t="shared" si="166"/>
        <v>2026</v>
      </c>
      <c r="C1401" s="129">
        <f t="shared" si="167"/>
        <v>2025</v>
      </c>
      <c r="D1401" s="2" t="s">
        <v>155</v>
      </c>
      <c r="E1401" s="2" t="s">
        <v>155</v>
      </c>
      <c r="F1401" s="39">
        <v>45839</v>
      </c>
      <c r="G1401" s="2">
        <f>DAY(EOMONTH(TA[[#This Row],[Month Year]],0))</f>
        <v>31</v>
      </c>
      <c r="H1401" s="21">
        <v>45844</v>
      </c>
      <c r="I1401" s="41">
        <f>IFERROR(VLOOKUP(TA[[#This Row],[Date]],Raw_Data[[Date]:[Sunset Time (POA&lt;20 W/m2)]],3,0),"")</f>
        <v>0.26041666666666669</v>
      </c>
      <c r="J1401" s="41">
        <f>IFERROR(VLOOKUP(TA[[#This Row],[Date]],Raw_Data[[Date]:[Sunset Time (POA&lt;20 W/m2)]],4,0),"")</f>
        <v>0.77777777777777779</v>
      </c>
      <c r="K1401" s="35">
        <f>IFERROR((TA[[#This Row],[Sunset Time (POA&lt;20 W/m2)]]-TA[[#This Row],[Sunrise Time (POA&gt;20 W/m2)]])*24,"")</f>
        <v>12.416666666666668</v>
      </c>
      <c r="L1401" s="2" t="s">
        <v>294</v>
      </c>
      <c r="M1401" s="42">
        <f>IFERROR(VLOOKUP(TA[[#This Row],[Affected Equipment]],'Basic Data'!$I$2:$K$40,3,0),"")</f>
        <v>1.7241379310344799E-3</v>
      </c>
      <c r="N1401">
        <v>-28</v>
      </c>
      <c r="O1401" t="s">
        <v>133</v>
      </c>
      <c r="P1401" s="127" t="s">
        <v>316</v>
      </c>
      <c r="Q1401" s="126" t="s">
        <v>316</v>
      </c>
      <c r="R1401">
        <v>118</v>
      </c>
      <c r="S1401" s="2">
        <v>22</v>
      </c>
      <c r="T1401" t="s">
        <v>295</v>
      </c>
      <c r="U1401" t="s">
        <v>300</v>
      </c>
      <c r="V1401" t="s">
        <v>298</v>
      </c>
      <c r="W1401" s="41"/>
      <c r="X1401" s="41"/>
      <c r="Y1401" s="34"/>
      <c r="Z1401" s="34"/>
      <c r="AA1401" s="35">
        <f>IF(TA[[#This Row],[Work Start time on Fault]]="NA","",(TA[[#This Row],[Fault Acknowledgement Time ]]-TA[[#This Row],[Fault Time]])*24)</f>
        <v>0</v>
      </c>
      <c r="AB1401" s="35">
        <f>(TA[[#This Row],[Work Start time on Fault]]-TA[[#This Row],[Fault Time]])*24</f>
        <v>0</v>
      </c>
      <c r="AC1401" s="34">
        <f>(TA[[#This Row],[Work Completion time on fault]]-TA[[#This Row],[Fault Time]])*24</f>
        <v>0</v>
      </c>
      <c r="AD1401" s="35">
        <f>IFERROR((TA[[#This Row],[Work Completion time on fault]]-TA[[#This Row],[Fault Time]])*24,"")</f>
        <v>0</v>
      </c>
      <c r="AE1401" t="s">
        <v>328</v>
      </c>
      <c r="AF1401" t="s">
        <v>256</v>
      </c>
      <c r="AG1401" s="2"/>
      <c r="AH1401" s="44">
        <f>1-COS(RADIANS(TA[[#This Row],[Avg. Target Angle during Fault Time (Radians)]]-TA[[#This Row],[Angle of affected equipment ]]))</f>
        <v>0.11705240714107301</v>
      </c>
      <c r="AI1401" s="35">
        <f>IFERROR(TA[[#This Row],[Breakdown Time]]*TA[[#This Row],[Plant Equivalent Weightage]],"")</f>
        <v>0</v>
      </c>
    </row>
    <row r="1402" spans="1:35">
      <c r="A1402" s="2">
        <f t="shared" si="165"/>
        <v>1399</v>
      </c>
      <c r="B1402" s="156">
        <f t="shared" si="166"/>
        <v>2026</v>
      </c>
      <c r="C1402" s="129">
        <f t="shared" si="167"/>
        <v>2025</v>
      </c>
      <c r="D1402" s="2" t="s">
        <v>155</v>
      </c>
      <c r="E1402" s="2" t="s">
        <v>155</v>
      </c>
      <c r="F1402" s="39">
        <v>45839</v>
      </c>
      <c r="G1402" s="2">
        <f>DAY(EOMONTH(TA[[#This Row],[Month Year]],0))</f>
        <v>31</v>
      </c>
      <c r="H1402" s="21">
        <v>45844</v>
      </c>
      <c r="I1402" s="41">
        <f>IFERROR(VLOOKUP(TA[[#This Row],[Date]],Raw_Data[[Date]:[Sunset Time (POA&lt;20 W/m2)]],3,0),"")</f>
        <v>0.26041666666666669</v>
      </c>
      <c r="J1402" s="41">
        <f>IFERROR(VLOOKUP(TA[[#This Row],[Date]],Raw_Data[[Date]:[Sunset Time (POA&lt;20 W/m2)]],4,0),"")</f>
        <v>0.77777777777777779</v>
      </c>
      <c r="K1402" s="35">
        <f>IFERROR((TA[[#This Row],[Sunset Time (POA&lt;20 W/m2)]]-TA[[#This Row],[Sunrise Time (POA&gt;20 W/m2)]])*24,"")</f>
        <v>12.416666666666668</v>
      </c>
      <c r="L1402" s="2" t="s">
        <v>296</v>
      </c>
      <c r="M1402" s="42">
        <f>IFERROR(VLOOKUP(TA[[#This Row],[Affected Equipment]],'Basic Data'!$I$2:$K$40,3,0),"")</f>
        <v>8.6206896551724102E-3</v>
      </c>
      <c r="N1402">
        <v>-28</v>
      </c>
      <c r="O1402" t="s">
        <v>135</v>
      </c>
      <c r="P1402" s="22" t="s">
        <v>323</v>
      </c>
      <c r="Q1402" s="2" t="s">
        <v>329</v>
      </c>
      <c r="R1402">
        <v>45</v>
      </c>
      <c r="S1402" s="2">
        <v>8</v>
      </c>
      <c r="T1402" t="s">
        <v>297</v>
      </c>
      <c r="U1402" t="s">
        <v>300</v>
      </c>
      <c r="V1402" t="s">
        <v>301</v>
      </c>
      <c r="W1402" s="41"/>
      <c r="X1402" s="41"/>
      <c r="Y1402" s="34"/>
      <c r="Z1402" s="34"/>
      <c r="AA1402" s="35">
        <f>IF(TA[[#This Row],[Work Start time on Fault]]="NA","",(TA[[#This Row],[Fault Acknowledgement Time ]]-TA[[#This Row],[Fault Time]])*24)</f>
        <v>0</v>
      </c>
      <c r="AB1402" s="35">
        <f>(TA[[#This Row],[Work Start time on Fault]]-TA[[#This Row],[Fault Time]])*24</f>
        <v>0</v>
      </c>
      <c r="AC1402" s="34">
        <f>(TA[[#This Row],[Work Completion time on fault]]-TA[[#This Row],[Fault Time]])*24</f>
        <v>0</v>
      </c>
      <c r="AD1402" s="35">
        <f>IFERROR((TA[[#This Row],[Work Completion time on fault]]-TA[[#This Row],[Fault Time]])*24,"")</f>
        <v>0</v>
      </c>
      <c r="AE1402" t="s">
        <v>328</v>
      </c>
      <c r="AF1402" t="s">
        <v>256</v>
      </c>
      <c r="AG1402" s="2"/>
      <c r="AH1402" s="44">
        <f>1-COS(RADIANS(TA[[#This Row],[Avg. Target Angle during Fault Time (Radians)]]-TA[[#This Row],[Angle of affected equipment ]]))</f>
        <v>0.11705240714107301</v>
      </c>
      <c r="AI1402" s="35">
        <f>IFERROR(TA[[#This Row],[Breakdown Time]]*TA[[#This Row],[Plant Equivalent Weightage]],"")</f>
        <v>0</v>
      </c>
    </row>
    <row r="1403" spans="1:35">
      <c r="A1403" s="2">
        <f t="shared" si="165"/>
        <v>1400</v>
      </c>
      <c r="B1403" s="156">
        <f t="shared" si="166"/>
        <v>2026</v>
      </c>
      <c r="C1403" s="129">
        <f t="shared" si="167"/>
        <v>2025</v>
      </c>
      <c r="D1403" s="2" t="s">
        <v>155</v>
      </c>
      <c r="E1403" s="2" t="s">
        <v>155</v>
      </c>
      <c r="F1403" s="39">
        <v>45839</v>
      </c>
      <c r="G1403" s="2">
        <f>DAY(EOMONTH(TA[[#This Row],[Month Year]],0))</f>
        <v>31</v>
      </c>
      <c r="H1403" s="21">
        <v>45844</v>
      </c>
      <c r="I1403" s="41">
        <f>IFERROR(VLOOKUP(TA[[#This Row],[Date]],Raw_Data[[Date]:[Sunset Time (POA&lt;20 W/m2)]],3,0),"")</f>
        <v>0.26041666666666669</v>
      </c>
      <c r="J1403" s="41">
        <f>IFERROR(VLOOKUP(TA[[#This Row],[Date]],Raw_Data[[Date]:[Sunset Time (POA&lt;20 W/m2)]],4,0),"")</f>
        <v>0.77777777777777779</v>
      </c>
      <c r="K1403" s="35">
        <f>IFERROR((TA[[#This Row],[Sunset Time (POA&lt;20 W/m2)]]-TA[[#This Row],[Sunrise Time (POA&gt;20 W/m2)]])*24,"")</f>
        <v>12.416666666666668</v>
      </c>
      <c r="L1403" s="2" t="s">
        <v>296</v>
      </c>
      <c r="M1403" s="42">
        <f>IFERROR(VLOOKUP(TA[[#This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   <v>323</v>
      </c>
      <c r="Q1403" s="2" t="s">
        <v>329</v>
      </c>
      <c r="R1403">
        <v>47</v>
      </c>
      <c r="S1403" s="2">
        <v>18</v>
      </c>
      <c r="T1403" t="s">
        <v>297</v>
      </c>
      <c r="U1403" t="s">
        <v>300</v>
      </c>
      <c r="V1403" t="s">
        <v>301</v>
      </c>
      <c r="W1403" s="41"/>
      <c r="X1403" s="41"/>
      <c r="Y1403" s="34"/>
      <c r="Z1403" s="34"/>
      <c r="AA1403" s="35">
        <f>IF(TA[[#This Row],[Work Start time on Fault]]="NA","",(TA[[#This Row],[Fault Acknowledgement Time ]]-TA[[#This Row],[Fault Time]])*24)</f>
        <v>0</v>
      </c>
      <c r="AB1403" s="35">
        <f>(TA[[#This Row],[Work Start time on Fault]]-TA[[#This Row],[Fault Time]])*24</f>
        <v>0</v>
      </c>
      <c r="AC1403" s="34">
        <f>(TA[[#This Row],[Work Completion time on fault]]-TA[[#This Row],[Fault Time]])*24</f>
        <v>0</v>
      </c>
      <c r="AD1403" s="35">
        <f>IFERROR((TA[[#This Row],[Work Completion time on fault]]-TA[[#This Row],[Fault Time]])*24,"")</f>
        <v>0</v>
      </c>
      <c r="AE1403" t="s">
        <v>328</v>
      </c>
      <c r="AF1403" t="s">
        <v>256</v>
      </c>
      <c r="AG1403" s="2"/>
      <c r="AH1403" s="44">
        <f>1-COS(RADIANS(TA[[#This Row],[Avg. Target Angle during Fault Time (Radians)]]-TA[[#This Row],[Angle of affected equipment ]]))</f>
        <v>0.11705240714107301</v>
      </c>
      <c r="AI1403" s="35">
        <f>IFERROR(TA[[#This Row],[Breakdown Time]]*TA[[#This Row],[Plant Equivalent Weightage]],"")</f>
        <v>0</v>
      </c>
    </row>
    <row r="1404" spans="1:35">
      <c r="A1404" s="2">
        <f t="shared" si="165"/>
        <v>1401</v>
      </c>
      <c r="B1404" s="156">
        <f t="shared" si="166"/>
        <v>2026</v>
      </c>
      <c r="C1404" s="129">
        <f t="shared" si="167"/>
        <v>2025</v>
      </c>
      <c r="D1404" s="2" t="s">
        <v>155</v>
      </c>
      <c r="E1404" s="2" t="s">
        <v>155</v>
      </c>
      <c r="F1404" s="39">
        <v>45839</v>
      </c>
      <c r="G1404" s="2">
        <f>DAY(EOMONTH(TA[[#This Row],[Month Year]],0))</f>
        <v>31</v>
      </c>
      <c r="H1404" s="21">
        <v>45844</v>
      </c>
      <c r="I1404" s="41">
        <f>IFERROR(VLOOKUP(TA[[#This Row],[Date]],Raw_Data[[Date]:[Sunset Time (POA&lt;20 W/m2)]],3,0),"")</f>
        <v>0.26041666666666669</v>
      </c>
      <c r="J1404" s="41">
        <f>IFERROR(VLOOKUP(TA[[#This Row],[Date]],Raw_Data[[Date]:[Sunset Time (POA&lt;20 W/m2)]],4,0),"")</f>
        <v>0.77777777777777779</v>
      </c>
      <c r="K1404" s="35">
        <f>IFERROR((TA[[#This Row],[Sunset Time (POA&lt;20 W/m2)]]-TA[[#This Row],[Sunrise Time (POA&gt;20 W/m2)]])*24,"")</f>
        <v>12.416666666666668</v>
      </c>
      <c r="L1404" s="2" t="s">
        <v>296</v>
      </c>
      <c r="M1404" s="42">
        <f>IFERROR(VLOOKUP(TA[[#This Row],[Affected Equipment]],'Basic Data'!$I$2:$K$40,3,0),"")</f>
        <v>8.6206896551724102E-3</v>
      </c>
      <c r="N1404">
        <v>-28</v>
      </c>
      <c r="O1404" t="s">
        <v>134</v>
      </c>
      <c r="P1404" s="22" t="s">
        <v>330</v>
      </c>
      <c r="Q1404" s="2" t="s">
        <v>323</v>
      </c>
      <c r="R1404">
        <v>30</v>
      </c>
      <c r="S1404" s="2">
        <v>57</v>
      </c>
      <c r="T1404" t="s">
        <v>297</v>
      </c>
      <c r="U1404" t="s">
        <v>300</v>
      </c>
      <c r="V1404" t="s">
        <v>301</v>
      </c>
      <c r="W1404" s="41"/>
      <c r="X1404" s="41"/>
      <c r="Y1404" s="34"/>
      <c r="Z1404" s="34"/>
      <c r="AA1404" s="35">
        <f>IF(TA[[#This Row],[Work Start time on Fault]]="NA","",(TA[[#This Row],[Fault Acknowledgement Time ]]-TA[[#This Row],[Fault Time]])*24)</f>
        <v>0</v>
      </c>
      <c r="AB1404" s="35">
        <f>(TA[[#This Row],[Work Start time on Fault]]-TA[[#This Row],[Fault Time]])*24</f>
        <v>0</v>
      </c>
      <c r="AC1404" s="34">
        <f>(TA[[#This Row],[Work Completion time on fault]]-TA[[#This Row],[Fault Time]])*24</f>
        <v>0</v>
      </c>
      <c r="AD1404" s="35">
        <f>IFERROR((TA[[#This Row],[Work Completion time on fault]]-TA[[#This Row],[Fault Time]])*24,"")</f>
        <v>0</v>
      </c>
      <c r="AE1404" t="s">
        <v>328</v>
      </c>
      <c r="AF1404" t="s">
        <v>256</v>
      </c>
      <c r="AG1404" s="2"/>
      <c r="AH1404" s="44">
        <f>1-COS(RADIANS(TA[[#This Row],[Avg. Target Angle during Fault Time (Radians)]]-TA[[#This Row],[Angle of affected equipment ]]))</f>
        <v>0.11705240714107301</v>
      </c>
      <c r="AI1404" s="35">
        <f>IFERROR(TA[[#This Row],[Breakdown Time]]*TA[[#This Row],[Plant Equivalent Weightage]],"")</f>
        <v>0</v>
      </c>
    </row>
    <row r="1405" spans="1:35">
      <c r="A1405" s="2">
        <f t="shared" si="165"/>
        <v>1402</v>
      </c>
      <c r="B1405" s="156">
        <f t="shared" si="166"/>
        <v>2026</v>
      </c>
      <c r="C1405" s="129">
        <f t="shared" si="167"/>
        <v>2025</v>
      </c>
      <c r="D1405" s="2" t="s">
        <v>155</v>
      </c>
      <c r="E1405" s="2" t="s">
        <v>155</v>
      </c>
      <c r="F1405" s="39">
        <v>45839</v>
      </c>
      <c r="G1405" s="2">
        <f>DAY(EOMONTH(TA[[#This Row],[Month Year]],0))</f>
        <v>31</v>
      </c>
      <c r="H1405" s="21">
        <v>45844</v>
      </c>
      <c r="I1405" s="41">
        <f>IFERROR(VLOOKUP(TA[[#This Row],[Date]],Raw_Data[[Date]:[Sunset Time (POA&lt;20 W/m2)]],3,0),"")</f>
        <v>0.26041666666666669</v>
      </c>
      <c r="J1405" s="41">
        <f>IFERROR(VLOOKUP(TA[[#This Row],[Date]],Raw_Data[[Date]:[Sunset Time (POA&lt;20 W/m2)]],4,0),"")</f>
        <v>0.77777777777777779</v>
      </c>
      <c r="K1405" s="35">
        <f>IFERROR((TA[[#This Row],[Sunset Time (POA&lt;20 W/m2)]]-TA[[#This Row],[Sunrise Time (POA&gt;20 W/m2)]])*24,"")</f>
        <v>12.416666666666668</v>
      </c>
      <c r="L1405" s="2" t="s">
        <v>296</v>
      </c>
      <c r="M1405" s="42">
        <f>IFERROR(VLOOKUP(TA[[#This Row],[Affected Equipment]],'Basic Data'!$I$2:$K$40,3,0),"")</f>
        <v>8.6206896551724102E-3</v>
      </c>
      <c r="N1405">
        <v>-28</v>
      </c>
      <c r="O1405" t="s">
        <v>134</v>
      </c>
      <c r="P1405" s="22" t="s">
        <v>330</v>
      </c>
      <c r="Q1405" s="2" t="s">
        <v>323</v>
      </c>
      <c r="R1405">
        <v>31</v>
      </c>
      <c r="S1405" s="2">
        <v>61</v>
      </c>
      <c r="T1405" t="s">
        <v>297</v>
      </c>
      <c r="U1405" t="s">
        <v>300</v>
      </c>
      <c r="V1405" t="s">
        <v>301</v>
      </c>
      <c r="W1405" s="41"/>
      <c r="X1405" s="41"/>
      <c r="Y1405" s="34"/>
      <c r="Z1405" s="34"/>
      <c r="AA1405" s="35">
        <f>IF(TA[[#This Row],[Work Start time on Fault]]="NA","",(TA[[#This Row],[Fault Acknowledgement Time ]]-TA[[#This Row],[Fault Time]])*24)</f>
        <v>0</v>
      </c>
      <c r="AB1405" s="35">
        <f>(TA[[#This Row],[Work Start time on Fault]]-TA[[#This Row],[Fault Time]])*24</f>
        <v>0</v>
      </c>
      <c r="AC1405" s="34">
        <f>(TA[[#This Row],[Work Completion time on fault]]-TA[[#This Row],[Fault Time]])*24</f>
        <v>0</v>
      </c>
      <c r="AD1405" s="35">
        <f>IFERROR((TA[[#This Row],[Work Completion time on fault]]-TA[[#This Row],[Fault Time]])*24,"")</f>
        <v>0</v>
      </c>
      <c r="AE1405" t="s">
        <v>328</v>
      </c>
      <c r="AF1405" t="s">
        <v>256</v>
      </c>
      <c r="AG1405" s="2"/>
      <c r="AH1405" s="44">
        <f>1-COS(RADIANS(TA[[#This Row],[Avg. Target Angle during Fault Time (Radians)]]-TA[[#This Row],[Angle of affected equipment ]]))</f>
        <v>0.11705240714107301</v>
      </c>
      <c r="AI1405" s="35">
        <f>IFERROR(TA[[#This Row],[Breakdown Time]]*TA[[#This Row],[Plant Equivalent Weightage]],"")</f>
        <v>0</v>
      </c>
    </row>
    <row r="1406" spans="1:35">
      <c r="A1406" s="2">
        <f t="shared" si="165"/>
        <v>1403</v>
      </c>
      <c r="B1406" s="156">
        <f t="shared" si="166"/>
        <v>2026</v>
      </c>
      <c r="C1406" s="129">
        <f t="shared" si="167"/>
        <v>2025</v>
      </c>
      <c r="D1406" s="2" t="s">
        <v>155</v>
      </c>
      <c r="E1406" s="2" t="s">
        <v>155</v>
      </c>
      <c r="F1406" s="39">
        <v>45839</v>
      </c>
      <c r="G1406" s="2">
        <f>DAY(EOMONTH(TA[[#This Row],[Month Year]],0))</f>
        <v>31</v>
      </c>
      <c r="H1406" s="21">
        <v>45844</v>
      </c>
      <c r="I1406" s="41">
        <f>IFERROR(VLOOKUP(TA[[#This Row],[Date]],Raw_Data[[Date]:[Sunset Time (POA&lt;20 W/m2)]],3,0),"")</f>
        <v>0.26041666666666669</v>
      </c>
      <c r="J1406" s="41">
        <f>IFERROR(VLOOKUP(TA[[#This Row],[Date]],Raw_Data[[Date]:[Sunset Time (POA&lt;20 W/m2)]],4,0),"")</f>
        <v>0.77777777777777779</v>
      </c>
      <c r="K1406" s="35">
        <f>IFERROR((TA[[#This Row],[Sunset Time (POA&lt;20 W/m2)]]-TA[[#This Row],[Sunrise Time (POA&gt;20 W/m2)]])*24,"")</f>
        <v>12.416666666666668</v>
      </c>
      <c r="L1406" s="2" t="s">
        <v>312</v>
      </c>
      <c r="M1406" s="42">
        <f>IFERROR(VLOOKUP(TA[[#This Row],[Affected Equipment]],'Basic Data'!$I$2:$K$40,3,0),"")</f>
        <v>5.74712643678161E-3</v>
      </c>
      <c r="N1406">
        <v>-28</v>
      </c>
      <c r="O1406" t="s">
        <v>133</v>
      </c>
      <c r="P1406" s="22" t="s">
        <v>330</v>
      </c>
      <c r="Q1406" s="2" t="s">
        <v>323</v>
      </c>
      <c r="R1406">
        <v>26</v>
      </c>
      <c r="S1406" s="2">
        <v>37</v>
      </c>
      <c r="T1406" t="s">
        <v>297</v>
      </c>
      <c r="U1406" t="s">
        <v>300</v>
      </c>
      <c r="V1406" t="s">
        <v>301</v>
      </c>
      <c r="W1406" s="41"/>
      <c r="X1406" s="41"/>
      <c r="Y1406" s="34"/>
      <c r="Z1406" s="34"/>
      <c r="AA1406" s="35">
        <f>IF(TA[[#This Row],[Work Start time on Fault]]="NA","",(TA[[#This Row],[Fault Acknowledgement Time ]]-TA[[#This Row],[Fault Time]])*24)</f>
        <v>0</v>
      </c>
      <c r="AB1406" s="35">
        <f>(TA[[#This Row],[Work Start time on Fault]]-TA[[#This Row],[Fault Time]])*24</f>
        <v>0</v>
      </c>
      <c r="AC1406" s="34">
        <f>(TA[[#This Row],[Work Completion time on fault]]-TA[[#This Row],[Fault Time]])*24</f>
        <v>0</v>
      </c>
      <c r="AD1406" s="35">
        <f>IFERROR((TA[[#This Row],[Work Completion time on fault]]-TA[[#This Row],[Fault Time]])*24,"")</f>
        <v>0</v>
      </c>
      <c r="AE1406" t="s">
        <v>328</v>
      </c>
      <c r="AF1406" t="s">
        <v>256</v>
      </c>
      <c r="AG1406" s="2"/>
      <c r="AH1406" s="44">
        <f>1-COS(RADIANS(TA[[#This Row],[Avg. Target Angle during Fault Time (Radians)]]-TA[[#This Row],[Angle of affected equipment ]]))</f>
        <v>0.11705240714107301</v>
      </c>
      <c r="AI1406" s="35">
        <f>IFERROR(TA[[#This Row],[Breakdown Time]]*TA[[#This Row],[Plant Equivalent Weightage]],"")</f>
        <v>0</v>
      </c>
    </row>
    <row r="1407" spans="1:35">
      <c r="A1407" s="2">
        <f t="shared" si="165"/>
        <v>1404</v>
      </c>
      <c r="B1407" s="156">
        <f t="shared" si="166"/>
        <v>2026</v>
      </c>
      <c r="C1407" s="129">
        <f t="shared" si="167"/>
        <v>2025</v>
      </c>
      <c r="D1407" s="2" t="s">
        <v>155</v>
      </c>
      <c r="E1407" s="2" t="s">
        <v>155</v>
      </c>
      <c r="F1407" s="39">
        <v>45839</v>
      </c>
      <c r="G1407" s="2">
        <f>DAY(EOMONTH(TA[[#This Row],[Month Year]],0))</f>
        <v>31</v>
      </c>
      <c r="H1407" s="21">
        <v>45844</v>
      </c>
      <c r="I1407" s="41">
        <f>IFERROR(VLOOKUP(TA[[#This Row],[Date]],Raw_Data[[Date]:[Sunset Time (POA&lt;20 W/m2)]],3,0),"")</f>
        <v>0.26041666666666669</v>
      </c>
      <c r="J1407" s="41">
        <f>IFERROR(VLOOKUP(TA[[#This Row],[Date]],Raw_Data[[Date]:[Sunset Time (POA&lt;20 W/m2)]],4,0),"")</f>
        <v>0.77777777777777779</v>
      </c>
      <c r="K1407" s="35">
        <f>IFERROR((TA[[#This Row],[Sunset Time (POA&lt;20 W/m2)]]-TA[[#This Row],[Sunrise Time (POA&gt;20 W/m2)]])*24,"")</f>
        <v>12.416666666666668</v>
      </c>
      <c r="L1407" s="2" t="s">
        <v>312</v>
      </c>
      <c r="M1407" s="42">
        <f>IFERROR(VLOOKUP(TA[[#This Row],[Affected Equipment]],'Basic Data'!$I$2:$K$40,3,0),"")</f>
        <v>5.74712643678161E-3</v>
      </c>
      <c r="N1407">
        <v>-28</v>
      </c>
      <c r="O1407" t="s">
        <v>133</v>
      </c>
      <c r="P1407" s="22" t="s">
        <v>330</v>
      </c>
      <c r="Q1407" s="2" t="s">
        <v>323</v>
      </c>
      <c r="R1407">
        <v>27</v>
      </c>
      <c r="S1407" s="2">
        <v>42</v>
      </c>
      <c r="T1407" t="s">
        <v>297</v>
      </c>
      <c r="U1407" t="s">
        <v>300</v>
      </c>
      <c r="V1407" t="s">
        <v>301</v>
      </c>
      <c r="W1407" s="41">
        <f>IFERROR(VLOOKUP(TA[[#This Row],[Date]],Raw_Data[[Date]:[Sunset Time (POA&lt;20 W/m2)]],3,0),"")</f>
        <v>0.26041666666666669</v>
      </c>
      <c r="X1407" s="41">
        <f>IFERROR(VLOOKUP(TA[[#This Row],[Date]],Raw_Data[[Date]:[Sunset Time (POA&lt;20 W/m2)]],3,0),"")</f>
        <v>0.26041666666666669</v>
      </c>
      <c r="Y1407" s="34"/>
      <c r="Z1407" s="34">
        <v>0.76041666666666663</v>
      </c>
      <c r="AA1407" s="35">
        <f>IF(TA[[#This Row],[Work Start time on Fault]]="NA","",(TA[[#This Row],[Fault Acknowledgement Time ]]-TA[[#This Row],[Fault Time]])*24)</f>
        <v>0</v>
      </c>
      <c r="AB1407" s="35">
        <f>(TA[[#This Row],[Work Start time on Fault]]-TA[[#This Row],[Fault Time]])*24</f>
        <v>-6.25</v>
      </c>
      <c r="AC1407" s="34">
        <f>(TA[[#This Row],[Work Completion time on fault]]-TA[[#This Row],[Fault Time]])*24</f>
        <v>11.999999999999998</v>
      </c>
      <c r="AD1407" s="35">
        <f>IFERROR((TA[[#This Row],[Work Completion time on fault]]-TA[[#This Row],[Fault Time]])*24,"")</f>
        <v>11.999999999999998</v>
      </c>
      <c r="AE1407" t="s">
        <v>309</v>
      </c>
      <c r="AF1407" t="s">
        <v>256</v>
      </c>
      <c r="AG1407" s="2"/>
      <c r="AH1407" s="44">
        <f>1-COS(RADIANS(TA[[#This Row],[Avg. Target Angle during Fault Time (Radians)]]-TA[[#This Row],[Angle of affected equipment ]]))</f>
        <v>0.11705240714107301</v>
      </c>
      <c r="AI1407" s="35">
        <f>IFERROR(TA[[#This Row],[Breakdown Time]]*TA[[#This Row],[Plant Equivalent Weightage]],"")</f>
        <v>6.8965517241379309E-2</v>
      </c>
    </row>
    <row r="1408" spans="1:35">
      <c r="A1408" s="2">
        <f t="shared" si="165"/>
        <v>1405</v>
      </c>
      <c r="B1408" s="156">
        <f t="shared" ref="B1408:B1420" si="168">YEAR(H1408)+IF(MONTH(H1408)&gt;=4,1,0)</f>
        <v>2026</v>
      </c>
      <c r="C1408" s="129">
        <f t="shared" ref="C1408:C1420" si="169">YEAR(H1408)</f>
        <v>2025</v>
      </c>
      <c r="D1408" s="2" t="s">
        <v>155</v>
      </c>
      <c r="E1408" s="2" t="s">
        <v>155</v>
      </c>
      <c r="F1408" s="39">
        <v>45839</v>
      </c>
      <c r="G1408" s="2">
        <f>DAY(EOMONTH(TA[[#This Row],[Month Year]],0))</f>
        <v>31</v>
      </c>
      <c r="H1408" s="21">
        <v>45845</v>
      </c>
      <c r="I1408" s="41">
        <f>IFERROR(VLOOKUP(TA[[#This Row],[Date]],Raw_Data[[Date]:[Sunset Time (POA&lt;20 W/m2)]],3,0),"")</f>
        <v>0.25972222222222224</v>
      </c>
      <c r="J1408" s="41">
        <f>IFERROR(VLOOKUP(TA[[#This Row],[Date]],Raw_Data[[Date]:[Sunset Time (POA&lt;20 W/m2)]],4,0),"")</f>
        <v>0.78125</v>
      </c>
      <c r="K1408" s="35">
        <f>IFERROR((TA[[#This Row],[Sunset Time (POA&lt;20 W/m2)]]-TA[[#This Row],[Sunrise Time (POA&gt;20 W/m2)]])*24,"")</f>
        <v>12.516666666666667</v>
      </c>
      <c r="L1408" s="2" t="s">
        <v>294</v>
      </c>
      <c r="M1408" s="42">
        <f>IFERROR(VLOOKUP(TA[[#This Row],[Affected Equipment]],'Basic Data'!$I$2:$K$40,3,0),"")</f>
        <v>1.7241379310344799E-3</v>
      </c>
      <c r="N1408">
        <v>-28</v>
      </c>
      <c r="O1408" t="s">
        <v>135</v>
      </c>
      <c r="P1408" s="127" t="s">
        <v>318</v>
      </c>
      <c r="Q1408" s="126" t="s">
        <v>318</v>
      </c>
      <c r="R1408">
        <v>131</v>
      </c>
      <c r="S1408" s="2">
        <v>38</v>
      </c>
      <c r="T1408" t="s">
        <v>295</v>
      </c>
      <c r="U1408" t="s">
        <v>300</v>
      </c>
      <c r="V1408" t="s">
        <v>298</v>
      </c>
      <c r="W1408" s="41"/>
      <c r="X1408" s="41"/>
      <c r="Y1408" s="34"/>
      <c r="Z1408" s="34"/>
      <c r="AA1408" s="35">
        <f>IF(TA[[#This Row],[Work Start time on Fault]]="NA","",(TA[[#This Row],[Fault Acknowledgement Time ]]-TA[[#This Row],[Fault Time]])*24)</f>
        <v>0</v>
      </c>
      <c r="AB1408" s="35">
        <f>(TA[[#This Row],[Work Start time on Fault]]-TA[[#This Row],[Fault Time]])*24</f>
        <v>0</v>
      </c>
      <c r="AC1408" s="34">
        <f>(TA[[#This Row],[Work Completion time on fault]]-TA[[#This Row],[Fault Time]])*24</f>
        <v>0</v>
      </c>
      <c r="AD1408" s="35">
        <f>IFERROR((TA[[#This Row],[Work Completion time on fault]]-TA[[#This Row],[Fault Time]])*24,"")</f>
        <v>0</v>
      </c>
      <c r="AE1408" t="s">
        <v>328</v>
      </c>
      <c r="AF1408" t="s">
        <v>256</v>
      </c>
      <c r="AG1408" s="2"/>
      <c r="AH1408" s="44">
        <f>1-COS(RADIANS(TA[[#This Row],[Avg. Target Angle during Fault Time (Radians)]]-TA[[#This Row],[Angle of affected equipment ]]))</f>
        <v>0.11705240714107301</v>
      </c>
      <c r="AI1408" s="35">
        <f>IFERROR(TA[[#This Row],[Breakdown Time]]*TA[[#This Row],[Plant Equivalent Weightage]],"")</f>
        <v>0</v>
      </c>
    </row>
    <row r="1409" spans="1:35">
      <c r="A1409" s="2">
        <f t="shared" si="165"/>
        <v>1406</v>
      </c>
      <c r="B1409" s="156">
        <f t="shared" si="168"/>
        <v>2026</v>
      </c>
      <c r="C1409" s="129">
        <f t="shared" si="169"/>
        <v>2025</v>
      </c>
      <c r="D1409" s="2" t="s">
        <v>155</v>
      </c>
      <c r="E1409" s="2" t="s">
        <v>155</v>
      </c>
      <c r="F1409" s="39">
        <v>45839</v>
      </c>
      <c r="G1409" s="2">
        <f>DAY(EOMONTH(TA[[#This Row],[Month Year]],0))</f>
        <v>31</v>
      </c>
      <c r="H1409" s="21">
        <v>45845</v>
      </c>
      <c r="I1409" s="41">
        <f>IFERROR(VLOOKUP(TA[[#This Row],[Date]],Raw_Data[[Date]:[Sunset Time (POA&lt;20 W/m2)]],3,0),"")</f>
        <v>0.25972222222222224</v>
      </c>
      <c r="J1409" s="41">
        <f>IFERROR(VLOOKUP(TA[[#This Row],[Date]],Raw_Data[[Date]:[Sunset Time (POA&lt;20 W/m2)]],4,0),"")</f>
        <v>0.78125</v>
      </c>
      <c r="K1409" s="35">
        <f>IFERROR((TA[[#This Row],[Sunset Time (POA&lt;20 W/m2)]]-TA[[#This Row],[Sunrise Time (POA&gt;20 W/m2)]])*24,"")</f>
        <v>12.516666666666667</v>
      </c>
      <c r="L1409" s="2" t="s">
        <v>294</v>
      </c>
      <c r="M1409" s="42">
        <f>IFERROR(VLOOKUP(TA[[#This Row],[Affected Equipment]],'Basic Data'!$I$2:$K$40,3,0),"")</f>
        <v>1.7241379310344799E-3</v>
      </c>
      <c r="N1409">
        <v>-28</v>
      </c>
      <c r="O1409" t="s">
        <v>135</v>
      </c>
      <c r="P1409" s="127" t="s">
        <v>318</v>
      </c>
      <c r="Q1409" s="126" t="s">
        <v>318</v>
      </c>
      <c r="R1409">
        <v>131</v>
      </c>
      <c r="S1409" s="2">
        <v>39</v>
      </c>
      <c r="T1409" t="s">
        <v>295</v>
      </c>
      <c r="U1409" t="s">
        <v>300</v>
      </c>
      <c r="V1409" t="s">
        <v>298</v>
      </c>
      <c r="W1409" s="41"/>
      <c r="X1409" s="41"/>
      <c r="Y1409" s="34"/>
      <c r="Z1409" s="34"/>
      <c r="AA1409" s="35">
        <f>IF(TA[[#This Row],[Work Start time on Fault]]="NA","",(TA[[#This Row],[Fault Acknowledgement Time ]]-TA[[#This Row],[Fault Time]])*24)</f>
        <v>0</v>
      </c>
      <c r="AB1409" s="35">
        <f>(TA[[#This Row],[Work Start time on Fault]]-TA[[#This Row],[Fault Time]])*24</f>
        <v>0</v>
      </c>
      <c r="AC1409" s="34">
        <f>(TA[[#This Row],[Work Completion time on fault]]-TA[[#This Row],[Fault Time]])*24</f>
        <v>0</v>
      </c>
      <c r="AD1409" s="35">
        <f>IFERROR((TA[[#This Row],[Work Completion time on fault]]-TA[[#This Row],[Fault Time]])*24,"")</f>
        <v>0</v>
      </c>
      <c r="AE1409" t="s">
        <v>328</v>
      </c>
      <c r="AF1409" t="s">
        <v>256</v>
      </c>
      <c r="AG1409" s="2"/>
      <c r="AH1409" s="44">
        <f>1-COS(RADIANS(TA[[#This Row],[Avg. Target Angle during Fault Time (Radians)]]-TA[[#This Row],[Angle of affected equipment ]]))</f>
        <v>0.11705240714107301</v>
      </c>
      <c r="AI1409" s="35">
        <f>IFERROR(TA[[#This Row],[Breakdown Time]]*TA[[#This Row],[Plant Equivalent Weightage]],"")</f>
        <v>0</v>
      </c>
    </row>
    <row r="1410" spans="1:35">
      <c r="A1410" s="2">
        <f t="shared" si="165"/>
        <v>1407</v>
      </c>
      <c r="B1410" s="156">
        <f t="shared" si="168"/>
        <v>2026</v>
      </c>
      <c r="C1410" s="129">
        <f t="shared" si="169"/>
        <v>2025</v>
      </c>
      <c r="D1410" s="2" t="s">
        <v>155</v>
      </c>
      <c r="E1410" s="2" t="s">
        <v>155</v>
      </c>
      <c r="F1410" s="39">
        <v>45839</v>
      </c>
      <c r="G1410" s="2">
        <f>DAY(EOMONTH(TA[[#This Row],[Month Year]],0))</f>
        <v>31</v>
      </c>
      <c r="H1410" s="21">
        <v>45845</v>
      </c>
      <c r="I1410" s="41">
        <f>IFERROR(VLOOKUP(TA[[#This Row],[Date]],Raw_Data[[Date]:[Sunset Time (POA&lt;20 W/m2)]],3,0),"")</f>
        <v>0.25972222222222224</v>
      </c>
      <c r="J1410" s="41">
        <f>IFERROR(VLOOKUP(TA[[#This Row],[Date]],Raw_Data[[Date]:[Sunset Time (POA&lt;20 W/m2)]],4,0),"")</f>
        <v>0.78125</v>
      </c>
      <c r="K1410" s="35">
        <f>IFERROR((TA[[#This Row],[Sunset Time (POA&lt;20 W/m2)]]-TA[[#This Row],[Sunrise Time (POA&gt;20 W/m2)]])*24,"")</f>
        <v>12.516666666666667</v>
      </c>
      <c r="L1410" s="2" t="s">
        <v>296</v>
      </c>
      <c r="M1410" s="42">
        <f>IFERROR(VLOOKUP(TA[[#This Row],[Affected Equipment]],'Basic Data'!$I$2:$K$40,3,0),"")</f>
        <v>8.6206896551724102E-3</v>
      </c>
      <c r="N1410">
        <v>-28</v>
      </c>
      <c r="O1410" t="s">
        <v>135</v>
      </c>
      <c r="P1410" s="127" t="s">
        <v>318</v>
      </c>
      <c r="Q1410" s="2" t="s">
        <v>321</v>
      </c>
      <c r="R1410">
        <v>133</v>
      </c>
      <c r="S1410" s="2">
        <v>26</v>
      </c>
      <c r="T1410" t="s">
        <v>297</v>
      </c>
      <c r="U1410" t="s">
        <v>300</v>
      </c>
      <c r="V1410" t="s">
        <v>314</v>
      </c>
      <c r="W1410" s="41">
        <f>IFERROR(VLOOKUP(TA[[#This Row],[Date]],Raw_Data[[Date]:[Sunset Time (POA&lt;20 W/m2)]],3,0),"")</f>
        <v>0.25972222222222224</v>
      </c>
      <c r="X1410" s="41">
        <f>IFERROR(VLOOKUP(TA[[#This Row],[Date]],Raw_Data[[Date]:[Sunset Time (POA&lt;20 W/m2)]],3,0),"")</f>
        <v>0.25972222222222224</v>
      </c>
      <c r="Y1410" s="34"/>
      <c r="Z1410" s="34">
        <v>0.76041666666666663</v>
      </c>
      <c r="AA1410" s="35">
        <f>IF(TA[[#This Row],[Work Start time on Fault]]="NA","",(TA[[#This Row],[Fault Acknowledgement Time ]]-TA[[#This Row],[Fault Time]])*24)</f>
        <v>0</v>
      </c>
      <c r="AB1410" s="35">
        <f>(TA[[#This Row],[Work Start time on Fault]]-TA[[#This Row],[Fault Time]])*24</f>
        <v>-6.2333333333333343</v>
      </c>
      <c r="AC1410" s="34">
        <f>(TA[[#This Row],[Work Completion time on fault]]-TA[[#This Row],[Fault Time]])*24</f>
        <v>12.016666666666664</v>
      </c>
      <c r="AD1410" s="35">
        <f>IFERROR((TA[[#This Row],[Work Completion time on fault]]-TA[[#This Row],[Fault Time]])*24,"")</f>
        <v>12.016666666666664</v>
      </c>
      <c r="AE1410" t="s">
        <v>328</v>
      </c>
      <c r="AF1410" t="s">
        <v>256</v>
      </c>
      <c r="AG1410" s="2"/>
      <c r="AH1410" s="44">
        <f>1-COS(RADIANS(TA[[#This Row],[Avg. Target Angle during Fault Time (Radians)]]-TA[[#This Row],[Angle of affected equipment ]]))</f>
        <v>0.11705240714107301</v>
      </c>
      <c r="AI1410" s="35">
        <f>IFERROR(TA[[#This Row],[Breakdown Time]]*TA[[#This Row],[Plant Equivalent Weightage]],"")</f>
        <v>0.10359195402298844</v>
      </c>
    </row>
    <row r="1411" spans="1:35">
      <c r="A1411" s="2">
        <f t="shared" si="165"/>
        <v>1408</v>
      </c>
      <c r="B1411" s="156">
        <f t="shared" si="168"/>
        <v>2026</v>
      </c>
      <c r="C1411" s="129">
        <f t="shared" si="169"/>
        <v>2025</v>
      </c>
      <c r="D1411" s="2" t="s">
        <v>155</v>
      </c>
      <c r="E1411" s="2" t="s">
        <v>155</v>
      </c>
      <c r="F1411" s="39">
        <v>45839</v>
      </c>
      <c r="G1411" s="2">
        <f>DAY(EOMONTH(TA[[#This Row],[Month Year]],0))</f>
        <v>31</v>
      </c>
      <c r="H1411" s="21">
        <v>45845</v>
      </c>
      <c r="I1411" s="41">
        <f>IFERROR(VLOOKUP(TA[[#This Row],[Date]],Raw_Data[[Date]:[Sunset Time (POA&lt;20 W/m2)]],3,0),"")</f>
        <v>0.25972222222222224</v>
      </c>
      <c r="J1411" s="41">
        <f>IFERROR(VLOOKUP(TA[[#This Row],[Date]],Raw_Data[[Date]:[Sunset Time (POA&lt;20 W/m2)]],4,0),"")</f>
        <v>0.78125</v>
      </c>
      <c r="K1411" s="35">
        <f>IFERROR((TA[[#This Row],[Sunset Time (POA&lt;20 W/m2)]]-TA[[#This Row],[Sunrise Time (POA&gt;20 W/m2)]])*24,"")</f>
        <v>12.516666666666667</v>
      </c>
      <c r="L1411" s="2" t="s">
        <v>294</v>
      </c>
      <c r="M1411" s="42">
        <f>IFERROR(VLOOKUP(TA[[#This Row],[Affected Equipment]],'Basic Data'!$I$2:$K$40,3,0),"")</f>
        <v>1.7241379310344799E-3</v>
      </c>
      <c r="N1411">
        <v>-28</v>
      </c>
      <c r="O1411" t="s">
        <v>133</v>
      </c>
      <c r="P1411" s="127" t="s">
        <v>316</v>
      </c>
      <c r="Q1411" s="126" t="s">
        <v>317</v>
      </c>
      <c r="R1411">
        <v>7</v>
      </c>
      <c r="S1411" s="2">
        <v>32</v>
      </c>
      <c r="T1411" t="s">
        <v>295</v>
      </c>
      <c r="U1411" t="s">
        <v>300</v>
      </c>
      <c r="V1411" t="s">
        <v>298</v>
      </c>
      <c r="W1411" s="41"/>
      <c r="X1411" s="41"/>
      <c r="Y1411" s="34"/>
      <c r="Z1411" s="34"/>
      <c r="AA1411" s="35">
        <f>IF(TA[[#This Row],[Work Start time on Fault]]="NA","",(TA[[#This Row],[Fault Acknowledgement Time ]]-TA[[#This Row],[Fault Time]])*24)</f>
        <v>0</v>
      </c>
      <c r="AB1411" s="35">
        <f>(TA[[#This Row],[Work Start time on Fault]]-TA[[#This Row],[Fault Time]])*24</f>
        <v>0</v>
      </c>
      <c r="AC1411" s="34">
        <f>(TA[[#This Row],[Work Completion time on fault]]-TA[[#This Row],[Fault Time]])*24</f>
        <v>0</v>
      </c>
      <c r="AD1411" s="35">
        <f>IFERROR((TA[[#This Row],[Work Completion time on fault]]-TA[[#This Row],[Fault Time]])*24,"")</f>
        <v>0</v>
      </c>
      <c r="AE1411" t="s">
        <v>328</v>
      </c>
      <c r="AF1411" t="s">
        <v>256</v>
      </c>
      <c r="AG1411" s="2"/>
      <c r="AH1411" s="44">
        <f>1-COS(RADIANS(TA[[#This Row],[Avg. Target Angle during Fault Time (Radians)]]-TA[[#This Row],[Angle of affected equipment ]]))</f>
        <v>0.11705240714107301</v>
      </c>
      <c r="AI1411" s="35">
        <f>IFERROR(TA[[#This Row],[Breakdown Time]]*TA[[#This Row],[Plant Equivalent Weightage]],"")</f>
        <v>0</v>
      </c>
    </row>
    <row r="1412" spans="1:35">
      <c r="A1412" s="2">
        <f t="shared" si="165"/>
        <v>1409</v>
      </c>
      <c r="B1412" s="156">
        <f t="shared" si="168"/>
        <v>2026</v>
      </c>
      <c r="C1412" s="129">
        <f t="shared" si="169"/>
        <v>2025</v>
      </c>
      <c r="D1412" s="2" t="s">
        <v>155</v>
      </c>
      <c r="E1412" s="2" t="s">
        <v>155</v>
      </c>
      <c r="F1412" s="39">
        <v>45839</v>
      </c>
      <c r="G1412" s="2">
        <f>DAY(EOMONTH(TA[[#This Row],[Month Year]],0))</f>
        <v>31</v>
      </c>
      <c r="H1412" s="21">
        <v>45845</v>
      </c>
      <c r="I1412" s="41">
        <f>IFERROR(VLOOKUP(TA[[#This Row],[Date]],Raw_Data[[Date]:[Sunset Time (POA&lt;20 W/m2)]],3,0),"")</f>
        <v>0.25972222222222224</v>
      </c>
      <c r="J1412" s="41">
        <f>IFERROR(VLOOKUP(TA[[#This Row],[Date]],Raw_Data[[Date]:[Sunset Time (POA&lt;20 W/m2)]],4,0),"")</f>
        <v>0.78125</v>
      </c>
      <c r="K1412" s="35">
        <f>IFERROR((TA[[#This Row],[Sunset Time (POA&lt;20 W/m2)]]-TA[[#This Row],[Sunrise Time (POA&gt;20 W/m2)]])*24,"")</f>
        <v>12.516666666666667</v>
      </c>
      <c r="L1412" s="2" t="s">
        <v>294</v>
      </c>
      <c r="M1412" s="42">
        <f>IFERROR(VLOOKUP(TA[[#This Row],[Affected Equipment]],'Basic Data'!$I$2:$K$40,3,0),"")</f>
        <v>1.7241379310344799E-3</v>
      </c>
      <c r="N1412">
        <v>-28</v>
      </c>
      <c r="O1412" t="s">
        <v>137</v>
      </c>
      <c r="P1412" s="127" t="s">
        <v>315</v>
      </c>
      <c r="Q1412" s="126" t="s">
        <v>319</v>
      </c>
      <c r="R1412">
        <v>166</v>
      </c>
      <c r="S1412" s="2">
        <v>91</v>
      </c>
      <c r="T1412" t="s">
        <v>295</v>
      </c>
      <c r="U1412" t="s">
        <v>300</v>
      </c>
      <c r="V1412" t="s">
        <v>298</v>
      </c>
      <c r="W1412" s="41"/>
      <c r="X1412" s="41"/>
      <c r="Y1412" s="34"/>
      <c r="Z1412" s="34"/>
      <c r="AA1412" s="35">
        <f>IF(TA[[#This Row],[Work Start time on Fault]]="NA","",(TA[[#This Row],[Fault Acknowledgement Time ]]-TA[[#This Row],[Fault Time]])*24)</f>
        <v>0</v>
      </c>
      <c r="AB1412" s="35">
        <f>(TA[[#This Row],[Work Start time on Fault]]-TA[[#This Row],[Fault Time]])*24</f>
        <v>0</v>
      </c>
      <c r="AC1412" s="34">
        <f>(TA[[#This Row],[Work Completion time on fault]]-TA[[#This Row],[Fault Time]])*24</f>
        <v>0</v>
      </c>
      <c r="AD1412" s="35">
        <f>IFERROR((TA[[#This Row],[Work Completion time on fault]]-TA[[#This Row],[Fault Time]])*24,"")</f>
        <v>0</v>
      </c>
      <c r="AE1412" t="s">
        <v>328</v>
      </c>
      <c r="AF1412" t="s">
        <v>256</v>
      </c>
      <c r="AG1412" s="2"/>
      <c r="AH1412" s="44">
        <f>1-COS(RADIANS(TA[[#This Row],[Avg. Target Angle during Fault Time (Radians)]]-TA[[#This Row],[Angle of affected equipment ]]))</f>
        <v>0.11705240714107301</v>
      </c>
      <c r="AI1412" s="35">
        <f>IFERROR(TA[[#This Row],[Breakdown Time]]*TA[[#This Row],[Plant Equivalent Weightage]],"")</f>
        <v>0</v>
      </c>
    </row>
    <row r="1413" spans="1:35">
      <c r="A1413" s="2">
        <f t="shared" si="165"/>
        <v>1410</v>
      </c>
      <c r="B1413" s="156">
        <f t="shared" si="168"/>
        <v>2026</v>
      </c>
      <c r="C1413" s="129">
        <f t="shared" si="169"/>
        <v>2025</v>
      </c>
      <c r="D1413" s="2" t="s">
        <v>155</v>
      </c>
      <c r="E1413" s="2" t="s">
        <v>155</v>
      </c>
      <c r="F1413" s="39">
        <v>45839</v>
      </c>
      <c r="G1413" s="2">
        <f>DAY(EOMONTH(TA[[#This Row],[Month Year]],0))</f>
        <v>31</v>
      </c>
      <c r="H1413" s="21">
        <v>45845</v>
      </c>
      <c r="I1413" s="41">
        <f>IFERROR(VLOOKUP(TA[[#This Row],[Date]],Raw_Data[[Date]:[Sunset Time (POA&lt;20 W/m2)]],3,0),"")</f>
        <v>0.25972222222222224</v>
      </c>
      <c r="J1413" s="41">
        <f>IFERROR(VLOOKUP(TA[[#This Row],[Date]],Raw_Data[[Date]:[Sunset Time (POA&lt;20 W/m2)]],4,0),"")</f>
        <v>0.78125</v>
      </c>
      <c r="K1413" s="35">
        <f>IFERROR((TA[[#This Row],[Sunset Time (POA&lt;20 W/m2)]]-TA[[#This Row],[Sunrise Time (POA&gt;20 W/m2)]])*24,"")</f>
        <v>12.516666666666667</v>
      </c>
      <c r="L1413" s="2" t="s">
        <v>294</v>
      </c>
      <c r="M1413" s="42">
        <f>IFERROR(VLOOKUP(TA[[#This Row],[Affected Equipment]],'Basic Data'!$I$2:$K$40,3,0),"")</f>
        <v>1.7241379310344799E-3</v>
      </c>
      <c r="N1413">
        <v>-28</v>
      </c>
      <c r="O1413" t="s">
        <v>133</v>
      </c>
      <c r="P1413" s="127" t="s">
        <v>316</v>
      </c>
      <c r="Q1413" s="126" t="s">
        <v>316</v>
      </c>
      <c r="R1413">
        <v>117</v>
      </c>
      <c r="S1413" s="2">
        <v>20</v>
      </c>
      <c r="T1413" t="s">
        <v>295</v>
      </c>
      <c r="U1413" t="s">
        <v>300</v>
      </c>
      <c r="V1413" t="s">
        <v>298</v>
      </c>
      <c r="W1413" s="41"/>
      <c r="X1413" s="41"/>
      <c r="Y1413" s="34"/>
      <c r="Z1413" s="34"/>
      <c r="AA1413" s="35">
        <f>IF(TA[[#This Row],[Work Start time on Fault]]="NA","",(TA[[#This Row],[Fault Acknowledgement Time ]]-TA[[#This Row],[Fault Time]])*24)</f>
        <v>0</v>
      </c>
      <c r="AB1413" s="35">
        <f>(TA[[#This Row],[Work Start time on Fault]]-TA[[#This Row],[Fault Time]])*24</f>
        <v>0</v>
      </c>
      <c r="AC1413" s="34">
        <f>(TA[[#This Row],[Work Completion time on fault]]-TA[[#This Row],[Fault Time]])*24</f>
        <v>0</v>
      </c>
      <c r="AD1413" s="35">
        <f>IFERROR((TA[[#This Row],[Work Completion time on fault]]-TA[[#This Row],[Fault Time]])*24,"")</f>
        <v>0</v>
      </c>
      <c r="AE1413" t="s">
        <v>328</v>
      </c>
      <c r="AF1413" t="s">
        <v>256</v>
      </c>
      <c r="AG1413" s="2"/>
      <c r="AH1413" s="44">
        <f>1-COS(RADIANS(TA[[#This Row],[Avg. Target Angle during Fault Time (Radians)]]-TA[[#This Row],[Angle of affected equipment ]]))</f>
        <v>0.11705240714107301</v>
      </c>
      <c r="AI1413" s="35">
        <f>IFERROR(TA[[#This Row],[Breakdown Time]]*TA[[#This Row],[Plant Equivalent Weightage]],"")</f>
        <v>0</v>
      </c>
    </row>
    <row r="1414" spans="1:35">
      <c r="A1414" s="2">
        <f t="shared" si="165"/>
        <v>1411</v>
      </c>
      <c r="B1414" s="156">
        <f t="shared" si="168"/>
        <v>2026</v>
      </c>
      <c r="C1414" s="129">
        <f t="shared" si="169"/>
        <v>2025</v>
      </c>
      <c r="D1414" s="2" t="s">
        <v>155</v>
      </c>
      <c r="E1414" s="2" t="s">
        <v>155</v>
      </c>
      <c r="F1414" s="39">
        <v>45839</v>
      </c>
      <c r="G1414" s="2">
        <f>DAY(EOMONTH(TA[[#This Row],[Month Year]],0))</f>
        <v>31</v>
      </c>
      <c r="H1414" s="21">
        <v>45845</v>
      </c>
      <c r="I1414" s="41">
        <f>IFERROR(VLOOKUP(TA[[#This Row],[Date]],Raw_Data[[Date]:[Sunset Time (POA&lt;20 W/m2)]],3,0),"")</f>
        <v>0.25972222222222224</v>
      </c>
      <c r="J1414" s="41">
        <f>IFERROR(VLOOKUP(TA[[#This Row],[Date]],Raw_Data[[Date]:[Sunset Time (POA&lt;20 W/m2)]],4,0),"")</f>
        <v>0.78125</v>
      </c>
      <c r="K1414" s="35">
        <f>IFERROR((TA[[#This Row],[Sunset Time (POA&lt;20 W/m2)]]-TA[[#This Row],[Sunrise Time (POA&gt;20 W/m2)]])*24,"")</f>
        <v>12.516666666666667</v>
      </c>
      <c r="L1414" s="2" t="s">
        <v>294</v>
      </c>
      <c r="M1414" s="42">
        <f>IFERROR(VLOOKUP(TA[[#This Row],[Affected Equipment]],'Basic Data'!$I$2:$K$40,3,0),"")</f>
        <v>1.7241379310344799E-3</v>
      </c>
      <c r="N1414">
        <v>-28</v>
      </c>
      <c r="O1414" t="s">
        <v>133</v>
      </c>
      <c r="P1414" s="127" t="s">
        <v>316</v>
      </c>
      <c r="Q1414" s="126" t="s">
        <v>316</v>
      </c>
      <c r="R1414">
        <v>118</v>
      </c>
      <c r="S1414" s="2">
        <v>22</v>
      </c>
      <c r="T1414" t="s">
        <v>295</v>
      </c>
      <c r="U1414" t="s">
        <v>300</v>
      </c>
      <c r="V1414" t="s">
        <v>298</v>
      </c>
      <c r="W1414" s="41"/>
      <c r="X1414" s="41"/>
      <c r="Y1414" s="34"/>
      <c r="Z1414" s="34"/>
      <c r="AA1414" s="35">
        <f>IF(TA[[#This Row],[Work Start time on Fault]]="NA","",(TA[[#This Row],[Fault Acknowledgement Time ]]-TA[[#This Row],[Fault Time]])*24)</f>
        <v>0</v>
      </c>
      <c r="AB1414" s="35">
        <f>(TA[[#This Row],[Work Start time on Fault]]-TA[[#This Row],[Fault Time]])*24</f>
        <v>0</v>
      </c>
      <c r="AC1414" s="34">
        <f>(TA[[#This Row],[Work Completion time on fault]]-TA[[#This Row],[Fault Time]])*24</f>
        <v>0</v>
      </c>
      <c r="AD1414" s="35">
        <f>IFERROR((TA[[#This Row],[Work Completion time on fault]]-TA[[#This Row],[Fault Time]])*24,"")</f>
        <v>0</v>
      </c>
      <c r="AE1414" t="s">
        <v>328</v>
      </c>
      <c r="AF1414" t="s">
        <v>256</v>
      </c>
      <c r="AG1414" s="2"/>
      <c r="AH1414" s="44">
        <f>1-COS(RADIANS(TA[[#This Row],[Avg. Target Angle during Fault Time (Radians)]]-TA[[#This Row],[Angle of affected equipment ]]))</f>
        <v>0.11705240714107301</v>
      </c>
      <c r="AI1414" s="35">
        <f>IFERROR(TA[[#This Row],[Breakdown Time]]*TA[[#This Row],[Plant Equivalent Weightage]],"")</f>
        <v>0</v>
      </c>
    </row>
    <row r="1415" spans="1:35">
      <c r="A1415" s="2">
        <f t="shared" si="165"/>
        <v>1412</v>
      </c>
      <c r="B1415" s="156">
        <f t="shared" si="168"/>
        <v>2026</v>
      </c>
      <c r="C1415" s="129">
        <f t="shared" si="169"/>
        <v>2025</v>
      </c>
      <c r="D1415" s="2" t="s">
        <v>155</v>
      </c>
      <c r="E1415" s="2" t="s">
        <v>155</v>
      </c>
      <c r="F1415" s="39">
        <v>45839</v>
      </c>
      <c r="G1415" s="2">
        <f>DAY(EOMONTH(TA[[#This Row],[Month Year]],0))</f>
        <v>31</v>
      </c>
      <c r="H1415" s="21">
        <v>45845</v>
      </c>
      <c r="I1415" s="41">
        <f>IFERROR(VLOOKUP(TA[[#This Row],[Date]],Raw_Data[[Date]:[Sunset Time (POA&lt;20 W/m2)]],3,0),"")</f>
        <v>0.25972222222222224</v>
      </c>
      <c r="J1415" s="41">
        <f>IFERROR(VLOOKUP(TA[[#This Row],[Date]],Raw_Data[[Date]:[Sunset Time (POA&lt;20 W/m2)]],4,0),"")</f>
        <v>0.78125</v>
      </c>
      <c r="K1415" s="35">
        <f>IFERROR((TA[[#This Row],[Sunset Time (POA&lt;20 W/m2)]]-TA[[#This Row],[Sunrise Time (POA&gt;20 W/m2)]])*24,"")</f>
        <v>12.516666666666667</v>
      </c>
      <c r="L1415" s="2" t="s">
        <v>296</v>
      </c>
      <c r="M1415" s="42">
        <f>IFERROR(VLOOKUP(TA[[#This Row],[Affected Equipment]],'Basic Data'!$I$2:$K$40,3,0),"")</f>
        <v>8.6206896551724102E-3</v>
      </c>
      <c r="N1415">
        <v>-28</v>
      </c>
      <c r="O1415" t="s">
        <v>135</v>
      </c>
      <c r="P1415" s="22" t="s">
        <v>323</v>
      </c>
      <c r="Q1415" s="2" t="s">
        <v>329</v>
      </c>
      <c r="R1415">
        <v>45</v>
      </c>
      <c r="S1415" s="2">
        <v>8</v>
      </c>
      <c r="T1415" t="s">
        <v>297</v>
      </c>
      <c r="U1415" t="s">
        <v>300</v>
      </c>
      <c r="V1415" t="s">
        <v>301</v>
      </c>
      <c r="W1415" s="41"/>
      <c r="X1415" s="41"/>
      <c r="Y1415" s="34"/>
      <c r="Z1415" s="34"/>
      <c r="AA1415" s="35">
        <f>IF(TA[[#This Row],[Work Start time on Fault]]="NA","",(TA[[#This Row],[Fault Acknowledgement Time ]]-TA[[#This Row],[Fault Time]])*24)</f>
        <v>0</v>
      </c>
      <c r="AB1415" s="35">
        <f>(TA[[#This Row],[Work Start time on Fault]]-TA[[#This Row],[Fault Time]])*24</f>
        <v>0</v>
      </c>
      <c r="AC1415" s="34">
        <f>(TA[[#This Row],[Work Completion time on fault]]-TA[[#This Row],[Fault Time]])*24</f>
        <v>0</v>
      </c>
      <c r="AD1415" s="35">
        <f>IFERROR((TA[[#This Row],[Work Completion time on fault]]-TA[[#This Row],[Fault Time]])*24,"")</f>
        <v>0</v>
      </c>
      <c r="AE1415" t="s">
        <v>328</v>
      </c>
      <c r="AF1415" t="s">
        <v>256</v>
      </c>
      <c r="AG1415" s="2"/>
      <c r="AH1415" s="44">
        <f>1-COS(RADIANS(TA[[#This Row],[Avg. Target Angle during Fault Time (Radians)]]-TA[[#This Row],[Angle of affected equipment ]]))</f>
        <v>0.11705240714107301</v>
      </c>
      <c r="AI1415" s="35">
        <f>IFERROR(TA[[#This Row],[Breakdown Time]]*TA[[#This Row],[Plant Equivalent Weightage]],"")</f>
        <v>0</v>
      </c>
    </row>
    <row r="1416" spans="1:35">
      <c r="A1416" s="2">
        <f t="shared" si="165"/>
        <v>1413</v>
      </c>
      <c r="B1416" s="156">
        <f t="shared" si="168"/>
        <v>2026</v>
      </c>
      <c r="C1416" s="129">
        <f t="shared" si="169"/>
        <v>2025</v>
      </c>
      <c r="D1416" s="2" t="s">
        <v>155</v>
      </c>
      <c r="E1416" s="2" t="s">
        <v>155</v>
      </c>
      <c r="F1416" s="39">
        <v>45839</v>
      </c>
      <c r="G1416" s="2">
        <f>DAY(EOMONTH(TA[[#This Row],[Month Year]],0))</f>
        <v>31</v>
      </c>
      <c r="H1416" s="21">
        <v>45845</v>
      </c>
      <c r="I1416" s="41">
        <f>IFERROR(VLOOKUP(TA[[#This Row],[Date]],Raw_Data[[Date]:[Sunset Time (POA&lt;20 W/m2)]],3,0),"")</f>
        <v>0.25972222222222224</v>
      </c>
      <c r="J1416" s="41">
        <f>IFERROR(VLOOKUP(TA[[#This Row],[Date]],Raw_Data[[Date]:[Sunset Time (POA&lt;20 W/m2)]],4,0),"")</f>
        <v>0.78125</v>
      </c>
      <c r="K1416" s="35">
        <f>IFERROR((TA[[#This Row],[Sunset Time (POA&lt;20 W/m2)]]-TA[[#This Row],[Sunrise Time (POA&gt;20 W/m2)]])*24,"")</f>
        <v>12.516666666666667</v>
      </c>
      <c r="L1416" s="2" t="s">
        <v>296</v>
      </c>
      <c r="M1416" s="42">
        <f>IFERROR(VLOOKUP(TA[[#This Row],[Affected Equipment]],'Basic Data'!$I$2:$K$40,3,0),"")</f>
        <v>8.6206896551724102E-3</v>
      </c>
      <c r="N1416">
        <v>-28</v>
      </c>
      <c r="O1416" t="s">
        <v>135</v>
      </c>
      <c r="P1416" s="22" t="s">
        <v>323</v>
      </c>
      <c r="Q1416" s="2" t="s">
        <v>329</v>
      </c>
      <c r="R1416">
        <v>47</v>
      </c>
      <c r="S1416" s="2">
        <v>18</v>
      </c>
      <c r="T1416" t="s">
        <v>297</v>
      </c>
      <c r="U1416" t="s">
        <v>300</v>
      </c>
      <c r="V1416" t="s">
        <v>301</v>
      </c>
      <c r="W1416" s="41"/>
      <c r="X1416" s="41"/>
      <c r="Y1416" s="34"/>
      <c r="Z1416" s="34"/>
      <c r="AA1416" s="35">
        <f>IF(TA[[#This Row],[Work Start time on Fault]]="NA","",(TA[[#This Row],[Fault Acknowledgement Time ]]-TA[[#This Row],[Fault Time]])*24)</f>
        <v>0</v>
      </c>
      <c r="AB1416" s="35">
        <f>(TA[[#This Row],[Work Start time on Fault]]-TA[[#This Row],[Fault Time]])*24</f>
        <v>0</v>
      </c>
      <c r="AC1416" s="34">
        <f>(TA[[#This Row],[Work Completion time on fault]]-TA[[#This Row],[Fault Time]])*24</f>
        <v>0</v>
      </c>
      <c r="AD1416" s="35">
        <f>IFERROR((TA[[#This Row],[Work Completion time on fault]]-TA[[#This Row],[Fault Time]])*24,"")</f>
        <v>0</v>
      </c>
      <c r="AE1416" t="s">
        <v>328</v>
      </c>
      <c r="AF1416" t="s">
        <v>256</v>
      </c>
      <c r="AG1416" s="2"/>
      <c r="AH1416" s="44">
        <f>1-COS(RADIANS(TA[[#This Row],[Avg. Target Angle during Fault Time (Radians)]]-TA[[#This Row],[Angle of affected equipment ]]))</f>
        <v>0.11705240714107301</v>
      </c>
      <c r="AI1416" s="35">
        <f>IFERROR(TA[[#This Row],[Breakdown Time]]*TA[[#This Row],[Plant Equivalent Weightage]],"")</f>
        <v>0</v>
      </c>
    </row>
    <row r="1417" spans="1:35">
      <c r="A1417" s="2">
        <f t="shared" si="165"/>
        <v>1414</v>
      </c>
      <c r="B1417" s="156">
        <f t="shared" si="168"/>
        <v>2026</v>
      </c>
      <c r="C1417" s="129">
        <f t="shared" si="169"/>
        <v>2025</v>
      </c>
      <c r="D1417" s="2" t="s">
        <v>155</v>
      </c>
      <c r="E1417" s="2" t="s">
        <v>155</v>
      </c>
      <c r="F1417" s="39">
        <v>45839</v>
      </c>
      <c r="G1417" s="2">
        <f>DAY(EOMONTH(TA[[#This Row],[Month Year]],0))</f>
        <v>31</v>
      </c>
      <c r="H1417" s="21">
        <v>45845</v>
      </c>
      <c r="I1417" s="41">
        <f>IFERROR(VLOOKUP(TA[[#This Row],[Date]],Raw_Data[[Date]:[Sunset Time (POA&lt;20 W/m2)]],3,0),"")</f>
        <v>0.25972222222222224</v>
      </c>
      <c r="J1417" s="41">
        <f>IFERROR(VLOOKUP(TA[[#This Row],[Date]],Raw_Data[[Date]:[Sunset Time (POA&lt;20 W/m2)]],4,0),"")</f>
        <v>0.78125</v>
      </c>
      <c r="K1417" s="35">
        <f>IFERROR((TA[[#This Row],[Sunset Time (POA&lt;20 W/m2)]]-TA[[#This Row],[Sunrise Time (POA&gt;20 W/m2)]])*24,"")</f>
        <v>12.516666666666667</v>
      </c>
      <c r="L1417" s="2" t="s">
        <v>296</v>
      </c>
      <c r="M1417" s="42">
        <f>IFERROR(VLOOKUP(TA[[#This Row],[Affected Equipment]],'Basic Data'!$I$2:$K$40,3,0),"")</f>
        <v>8.6206896551724102E-3</v>
      </c>
      <c r="N1417">
        <v>-28</v>
      </c>
      <c r="O1417" t="s">
        <v>134</v>
      </c>
      <c r="P1417" s="22" t="s">
        <v>330</v>
      </c>
      <c r="Q1417" s="2" t="s">
        <v>323</v>
      </c>
      <c r="R1417">
        <v>30</v>
      </c>
      <c r="S1417" s="2">
        <v>57</v>
      </c>
      <c r="T1417" t="s">
        <v>297</v>
      </c>
      <c r="U1417" t="s">
        <v>300</v>
      </c>
      <c r="V1417" t="s">
        <v>301</v>
      </c>
      <c r="W1417" s="41"/>
      <c r="X1417" s="41"/>
      <c r="Y1417" s="34"/>
      <c r="Z1417" s="34"/>
      <c r="AA1417" s="35">
        <f>IF(TA[[#This Row],[Work Start time on Fault]]="NA","",(TA[[#This Row],[Fault Acknowledgement Time ]]-TA[[#This Row],[Fault Time]])*24)</f>
        <v>0</v>
      </c>
      <c r="AB1417" s="35">
        <f>(TA[[#This Row],[Work Start time on Fault]]-TA[[#This Row],[Fault Time]])*24</f>
        <v>0</v>
      </c>
      <c r="AC1417" s="34">
        <f>(TA[[#This Row],[Work Completion time on fault]]-TA[[#This Row],[Fault Time]])*24</f>
        <v>0</v>
      </c>
      <c r="AD1417" s="35">
        <f>IFERROR((TA[[#This Row],[Work Completion time on fault]]-TA[[#This Row],[Fault Time]])*24,"")</f>
        <v>0</v>
      </c>
      <c r="AE1417" t="s">
        <v>328</v>
      </c>
      <c r="AF1417" t="s">
        <v>256</v>
      </c>
      <c r="AG1417" s="2"/>
      <c r="AH1417" s="44">
        <f>1-COS(RADIANS(TA[[#This Row],[Avg. Target Angle during Fault Time (Radians)]]-TA[[#This Row],[Angle of affected equipment ]]))</f>
        <v>0.11705240714107301</v>
      </c>
      <c r="AI1417" s="35">
        <f>IFERROR(TA[[#This Row],[Breakdown Time]]*TA[[#This Row],[Plant Equivalent Weightage]],"")</f>
        <v>0</v>
      </c>
    </row>
    <row r="1418" spans="1:35">
      <c r="A1418" s="2">
        <f t="shared" si="165"/>
        <v>1415</v>
      </c>
      <c r="B1418" s="156">
        <f t="shared" si="168"/>
        <v>2026</v>
      </c>
      <c r="C1418" s="129">
        <f t="shared" si="169"/>
        <v>2025</v>
      </c>
      <c r="D1418" s="2" t="s">
        <v>155</v>
      </c>
      <c r="E1418" s="2" t="s">
        <v>155</v>
      </c>
      <c r="F1418" s="39">
        <v>45839</v>
      </c>
      <c r="G1418" s="2">
        <f>DAY(EOMONTH(TA[[#This Row],[Month Year]],0))</f>
        <v>31</v>
      </c>
      <c r="H1418" s="21">
        <v>45845</v>
      </c>
      <c r="I1418" s="41">
        <f>IFERROR(VLOOKUP(TA[[#This Row],[Date]],Raw_Data[[Date]:[Sunset Time (POA&lt;20 W/m2)]],3,0),"")</f>
        <v>0.25972222222222224</v>
      </c>
      <c r="J1418" s="41">
        <f>IFERROR(VLOOKUP(TA[[#This Row],[Date]],Raw_Data[[Date]:[Sunset Time (POA&lt;20 W/m2)]],4,0),"")</f>
        <v>0.78125</v>
      </c>
      <c r="K1418" s="35">
        <f>IFERROR((TA[[#This Row],[Sunset Time (POA&lt;20 W/m2)]]-TA[[#This Row],[Sunrise Time (POA&gt;20 W/m2)]])*24,"")</f>
        <v>12.516666666666667</v>
      </c>
      <c r="L1418" s="2" t="s">
        <v>296</v>
      </c>
      <c r="M1418" s="42">
        <f>IFERROR(VLOOKUP(TA[[#This Row],[Affected Equipment]],'Basic Data'!$I$2:$K$40,3,0),"")</f>
        <v>8.6206896551724102E-3</v>
      </c>
      <c r="N1418">
        <v>-28</v>
      </c>
      <c r="O1418" t="s">
        <v>134</v>
      </c>
      <c r="P1418" s="22" t="s">
        <v>330</v>
      </c>
      <c r="Q1418" s="2" t="s">
        <v>323</v>
      </c>
      <c r="R1418">
        <v>31</v>
      </c>
      <c r="S1418" s="2">
        <v>61</v>
      </c>
      <c r="T1418" t="s">
        <v>297</v>
      </c>
      <c r="U1418" t="s">
        <v>300</v>
      </c>
      <c r="V1418" t="s">
        <v>301</v>
      </c>
      <c r="W1418" s="41"/>
      <c r="X1418" s="41"/>
      <c r="Y1418" s="34"/>
      <c r="Z1418" s="34"/>
      <c r="AA1418" s="35">
        <f>IF(TA[[#This Row],[Work Start time on Fault]]="NA","",(TA[[#This Row],[Fault Acknowledgement Time ]]-TA[[#This Row],[Fault Time]])*24)</f>
        <v>0</v>
      </c>
      <c r="AB1418" s="35">
        <f>(TA[[#This Row],[Work Start time on Fault]]-TA[[#This Row],[Fault Time]])*24</f>
        <v>0</v>
      </c>
      <c r="AC1418" s="34">
        <f>(TA[[#This Row],[Work Completion time on fault]]-TA[[#This Row],[Fault Time]])*24</f>
        <v>0</v>
      </c>
      <c r="AD1418" s="35">
        <f>IFERROR((TA[[#This Row],[Work Completion time on fault]]-TA[[#This Row],[Fault Time]])*24,"")</f>
        <v>0</v>
      </c>
      <c r="AE1418" t="s">
        <v>328</v>
      </c>
      <c r="AF1418" t="s">
        <v>256</v>
      </c>
      <c r="AG1418" s="2"/>
      <c r="AH1418" s="44">
        <f>1-COS(RADIANS(TA[[#This Row],[Avg. Target Angle during Fault Time (Radians)]]-TA[[#This Row],[Angle of affected equipment ]]))</f>
        <v>0.11705240714107301</v>
      </c>
      <c r="AI1418" s="35">
        <f>IFERROR(TA[[#This Row],[Breakdown Time]]*TA[[#This Row],[Plant Equivalent Weightage]],"")</f>
        <v>0</v>
      </c>
    </row>
    <row r="1419" spans="1:35">
      <c r="A1419" s="2">
        <f t="shared" si="165"/>
        <v>1416</v>
      </c>
      <c r="B1419" s="156">
        <f t="shared" si="168"/>
        <v>2026</v>
      </c>
      <c r="C1419" s="129">
        <f t="shared" si="169"/>
        <v>2025</v>
      </c>
      <c r="D1419" s="2" t="s">
        <v>155</v>
      </c>
      <c r="E1419" s="2" t="s">
        <v>155</v>
      </c>
      <c r="F1419" s="39">
        <v>45839</v>
      </c>
      <c r="G1419" s="2">
        <f>DAY(EOMONTH(TA[[#This Row],[Month Year]],0))</f>
        <v>31</v>
      </c>
      <c r="H1419" s="21">
        <v>45845</v>
      </c>
      <c r="I1419" s="41">
        <f>IFERROR(VLOOKUP(TA[[#This Row],[Date]],Raw_Data[[Date]:[Sunset Time (POA&lt;20 W/m2)]],3,0),"")</f>
        <v>0.25972222222222224</v>
      </c>
      <c r="J1419" s="41">
        <f>IFERROR(VLOOKUP(TA[[#This Row],[Date]],Raw_Data[[Date]:[Sunset Time (POA&lt;20 W/m2)]],4,0),"")</f>
        <v>0.78125</v>
      </c>
      <c r="K1419" s="35">
        <f>IFERROR((TA[[#This Row],[Sunset Time (POA&lt;20 W/m2)]]-TA[[#This Row],[Sunrise Time (POA&gt;20 W/m2)]])*24,"")</f>
        <v>12.516666666666667</v>
      </c>
      <c r="L1419" s="2" t="s">
        <v>312</v>
      </c>
      <c r="M1419" s="42">
        <f>IFERROR(VLOOKUP(TA[[#This Row],[Affected Equipment]],'Basic Data'!$I$2:$K$40,3,0),"")</f>
        <v>5.74712643678161E-3</v>
      </c>
      <c r="N1419">
        <v>-28</v>
      </c>
      <c r="O1419" t="s">
        <v>133</v>
      </c>
      <c r="P1419" s="22" t="s">
        <v>330</v>
      </c>
      <c r="Q1419" s="2" t="s">
        <v>323</v>
      </c>
      <c r="R1419">
        <v>26</v>
      </c>
      <c r="S1419" s="2">
        <v>37</v>
      </c>
      <c r="T1419" t="s">
        <v>297</v>
      </c>
      <c r="U1419" t="s">
        <v>300</v>
      </c>
      <c r="V1419" t="s">
        <v>301</v>
      </c>
      <c r="W1419" s="41"/>
      <c r="X1419" s="41"/>
      <c r="Y1419" s="34"/>
      <c r="Z1419" s="34"/>
      <c r="AA1419" s="35">
        <f>IF(TA[[#This Row],[Work Start time on Fault]]="NA","",(TA[[#This Row],[Fault Acknowledgement Time ]]-TA[[#This Row],[Fault Time]])*24)</f>
        <v>0</v>
      </c>
      <c r="AB1419" s="35">
        <f>(TA[[#This Row],[Work Start time on Fault]]-TA[[#This Row],[Fault Time]])*24</f>
        <v>0</v>
      </c>
      <c r="AC1419" s="34">
        <f>(TA[[#This Row],[Work Completion time on fault]]-TA[[#This Row],[Fault Time]])*24</f>
        <v>0</v>
      </c>
      <c r="AD1419" s="35">
        <f>IFERROR((TA[[#This Row],[Work Completion time on fault]]-TA[[#This Row],[Fault Time]])*24,"")</f>
        <v>0</v>
      </c>
      <c r="AE1419" t="s">
        <v>328</v>
      </c>
      <c r="AF1419" t="s">
        <v>256</v>
      </c>
      <c r="AG1419" s="2"/>
      <c r="AH1419" s="44">
        <f>1-COS(RADIANS(TA[[#This Row],[Avg. Target Angle during Fault Time (Radians)]]-TA[[#This Row],[Angle of affected equipment ]]))</f>
        <v>0.11705240714107301</v>
      </c>
      <c r="AI1419" s="35">
        <f>IFERROR(TA[[#This Row],[Breakdown Time]]*TA[[#This Row],[Plant Equivalent Weightage]],"")</f>
        <v>0</v>
      </c>
    </row>
    <row r="1420" spans="1:35">
      <c r="A1420" s="2">
        <f t="shared" si="165"/>
        <v>1417</v>
      </c>
      <c r="B1420" s="156">
        <f t="shared" si="168"/>
        <v>2026</v>
      </c>
      <c r="C1420" s="129">
        <f t="shared" si="169"/>
        <v>2025</v>
      </c>
      <c r="D1420" s="2" t="s">
        <v>155</v>
      </c>
      <c r="E1420" s="2" t="s">
        <v>155</v>
      </c>
      <c r="F1420" s="39">
        <v>45839</v>
      </c>
      <c r="G1420" s="2">
        <f>DAY(EOMONTH(TA[[#This Row],[Month Year]],0))</f>
        <v>31</v>
      </c>
      <c r="H1420" s="21">
        <v>45845</v>
      </c>
      <c r="I1420" s="41">
        <f>IFERROR(VLOOKUP(TA[[#This Row],[Date]],Raw_Data[[Date]:[Sunset Time (POA&lt;20 W/m2)]],3,0),"")</f>
        <v>0.25972222222222224</v>
      </c>
      <c r="J1420" s="41">
        <f>IFERROR(VLOOKUP(TA[[#This Row],[Date]],Raw_Data[[Date]:[Sunset Time (POA&lt;20 W/m2)]],4,0),"")</f>
        <v>0.78125</v>
      </c>
      <c r="K1420" s="35">
        <f>IFERROR((TA[[#This Row],[Sunset Time (POA&lt;20 W/m2)]]-TA[[#This Row],[Sunrise Time (POA&gt;20 W/m2)]])*24,"")</f>
        <v>12.516666666666667</v>
      </c>
      <c r="L1420" s="2" t="s">
        <v>312</v>
      </c>
      <c r="M1420" s="42">
        <f>IFERROR(VLOOKUP(TA[[#This Row],[Affected Equipment]],'Basic Data'!$I$2:$K$40,3,0),"")</f>
        <v>5.74712643678161E-3</v>
      </c>
      <c r="N1420">
        <v>-28</v>
      </c>
      <c r="O1420" t="s">
        <v>133</v>
      </c>
      <c r="P1420" s="22" t="s">
        <v>330</v>
      </c>
      <c r="Q1420" s="2" t="s">
        <v>323</v>
      </c>
      <c r="R1420">
        <v>27</v>
      </c>
      <c r="S1420" s="2">
        <v>42</v>
      </c>
      <c r="T1420" t="s">
        <v>297</v>
      </c>
      <c r="U1420" t="s">
        <v>300</v>
      </c>
      <c r="V1420" t="s">
        <v>301</v>
      </c>
      <c r="W1420" s="41">
        <f>IFERROR(VLOOKUP(TA[[#This Row],[Date]],Raw_Data[[Date]:[Sunset Time (POA&lt;20 W/m2)]],3,0),"")</f>
        <v>0.25972222222222224</v>
      </c>
      <c r="X1420" s="41">
        <f>IFERROR(VLOOKUP(TA[[#This Row],[Date]],Raw_Data[[Date]:[Sunset Time (POA&lt;20 W/m2)]],3,0),"")</f>
        <v>0.25972222222222224</v>
      </c>
      <c r="Y1420" s="34"/>
      <c r="Z1420" s="34">
        <v>0.76041666666666663</v>
      </c>
      <c r="AA1420" s="35">
        <f>IF(TA[[#This Row],[Work Start time on Fault]]="NA","",(TA[[#This Row],[Fault Acknowledgement Time ]]-TA[[#This Row],[Fault Time]])*24)</f>
        <v>0</v>
      </c>
      <c r="AB1420" s="35">
        <f>(TA[[#This Row],[Work Start time on Fault]]-TA[[#This Row],[Fault Time]])*24</f>
        <v>-6.2333333333333343</v>
      </c>
      <c r="AC1420" s="34">
        <f>(TA[[#This Row],[Work Completion time on fault]]-TA[[#This Row],[Fault Time]])*24</f>
        <v>12.016666666666664</v>
      </c>
      <c r="AD1420" s="35">
        <f>IFERROR((TA[[#This Row],[Work Completion time on fault]]-TA[[#This Row],[Fault Time]])*24,"")</f>
        <v>12.016666666666664</v>
      </c>
      <c r="AE1420" t="s">
        <v>309</v>
      </c>
      <c r="AF1420" t="s">
        <v>256</v>
      </c>
      <c r="AG1420" s="2"/>
      <c r="AH1420" s="44">
        <f>1-COS(RADIANS(TA[[#This Row],[Avg. Target Angle during Fault Time (Radians)]]-TA[[#This Row],[Angle of affected equipment ]]))</f>
        <v>0.11705240714107301</v>
      </c>
      <c r="AI1420" s="35">
        <f>IFERROR(TA[[#This Row],[Breakdown Time]]*TA[[#This Row],[Plant Equivalent Weightage]],"")</f>
        <v>6.9061302681992329E-2</v>
      </c>
    </row>
    <row r="1421" spans="1:35">
      <c r="A1421" s="2">
        <f t="shared" si="165"/>
        <v>1418</v>
      </c>
      <c r="B1421" s="156">
        <f t="shared" ref="B1421:B1433" si="170">YEAR(H1421)+IF(MONTH(H1421)&gt;=4,1,0)</f>
        <v>2026</v>
      </c>
      <c r="C1421" s="129">
        <f t="shared" ref="C1421:C1433" si="171">YEAR(H1421)</f>
        <v>2025</v>
      </c>
      <c r="D1421" s="2" t="s">
        <v>155</v>
      </c>
      <c r="E1421" s="2" t="s">
        <v>155</v>
      </c>
      <c r="F1421" s="39">
        <v>45839</v>
      </c>
      <c r="G1421" s="2">
        <f>DAY(EOMONTH(TA[[#This Row],[Month Year]],0))</f>
        <v>31</v>
      </c>
      <c r="H1421" s="21">
        <v>45846</v>
      </c>
      <c r="I1421" s="41">
        <f>IFERROR(VLOOKUP(TA[[#This Row],[Date]],Raw_Data[[Date]:[Sunset Time (POA&lt;20 W/m2)]],3,0),"")</f>
        <v>0.25833333333333336</v>
      </c>
      <c r="J1421" s="41">
        <f>IFERROR(VLOOKUP(TA[[#This Row],[Date]],Raw_Data[[Date]:[Sunset Time (POA&lt;20 W/m2)]],4,0),"")</f>
        <v>0.77916666666666667</v>
      </c>
      <c r="K1421" s="35">
        <f>IFERROR((TA[[#This Row],[Sunset Time (POA&lt;20 W/m2)]]-TA[[#This Row],[Sunrise Time (POA&gt;20 W/m2)]])*24,"")</f>
        <v>12.499999999999998</v>
      </c>
      <c r="L1421" s="2" t="s">
        <v>294</v>
      </c>
      <c r="M1421" s="42">
        <f>IFERROR(VLOOKUP(TA[[#This Row],[Affected Equipment]],'Basic Data'!$I$2:$K$40,3,0),"")</f>
        <v>1.7241379310344799E-3</v>
      </c>
      <c r="N1421">
        <v>-28</v>
      </c>
      <c r="O1421" t="s">
        <v>135</v>
      </c>
      <c r="P1421" s="127" t="s">
        <v>318</v>
      </c>
      <c r="Q1421" s="126" t="s">
        <v>318</v>
      </c>
      <c r="R1421">
        <v>131</v>
      </c>
      <c r="S1421" s="2">
        <v>38</v>
      </c>
      <c r="T1421" t="s">
        <v>295</v>
      </c>
      <c r="U1421" t="s">
        <v>300</v>
      </c>
      <c r="V1421" t="s">
        <v>298</v>
      </c>
      <c r="W1421" s="41"/>
      <c r="X1421" s="41"/>
      <c r="Y1421" s="34"/>
      <c r="Z1421" s="34"/>
      <c r="AA1421" s="35">
        <f>IF(TA[[#This Row],[Work Start time on Fault]]="NA","",(TA[[#This Row],[Fault Acknowledgement Time ]]-TA[[#This Row],[Fault Time]])*24)</f>
        <v>0</v>
      </c>
      <c r="AB1421" s="35">
        <f>(TA[[#This Row],[Work Start time on Fault]]-TA[[#This Row],[Fault Time]])*24</f>
        <v>0</v>
      </c>
      <c r="AC1421" s="34">
        <f>(TA[[#This Row],[Work Completion time on fault]]-TA[[#This Row],[Fault Time]])*24</f>
        <v>0</v>
      </c>
      <c r="AD1421" s="35">
        <f>IFERROR((TA[[#This Row],[Work Completion time on fault]]-TA[[#This Row],[Fault Time]])*24,"")</f>
        <v>0</v>
      </c>
      <c r="AE1421" t="s">
        <v>328</v>
      </c>
      <c r="AF1421" t="s">
        <v>256</v>
      </c>
      <c r="AG1421" s="2"/>
      <c r="AH1421" s="44">
        <f>1-COS(RADIANS(TA[[#This Row],[Avg. Target Angle during Fault Time (Radians)]]-TA[[#This Row],[Angle of affected equipment ]]))</f>
        <v>0.11705240714107301</v>
      </c>
      <c r="AI1421" s="35">
        <f>IFERROR(TA[[#This Row],[Breakdown Time]]*TA[[#This Row],[Plant Equivalent Weightage]],"")</f>
        <v>0</v>
      </c>
    </row>
    <row r="1422" spans="1:35">
      <c r="A1422" s="2">
        <f t="shared" si="165"/>
        <v>1419</v>
      </c>
      <c r="B1422" s="156">
        <f t="shared" si="170"/>
        <v>2026</v>
      </c>
      <c r="C1422" s="129">
        <f t="shared" si="171"/>
        <v>2025</v>
      </c>
      <c r="D1422" s="2" t="s">
        <v>155</v>
      </c>
      <c r="E1422" s="2" t="s">
        <v>155</v>
      </c>
      <c r="F1422" s="39">
        <v>45839</v>
      </c>
      <c r="G1422" s="2">
        <f>DAY(EOMONTH(TA[[#This Row],[Month Year]],0))</f>
        <v>31</v>
      </c>
      <c r="H1422" s="21">
        <v>45846</v>
      </c>
      <c r="I1422" s="41">
        <f>IFERROR(VLOOKUP(TA[[#This Row],[Date]],Raw_Data[[Date]:[Sunset Time (POA&lt;20 W/m2)]],3,0),"")</f>
        <v>0.25833333333333336</v>
      </c>
      <c r="J1422" s="41">
        <f>IFERROR(VLOOKUP(TA[[#This Row],[Date]],Raw_Data[[Date]:[Sunset Time (POA&lt;20 W/m2)]],4,0),"")</f>
        <v>0.77916666666666667</v>
      </c>
      <c r="K1422" s="35">
        <f>IFERROR((TA[[#This Row],[Sunset Time (POA&lt;20 W/m2)]]-TA[[#This Row],[Sunrise Time (POA&gt;20 W/m2)]])*24,"")</f>
        <v>12.499999999999998</v>
      </c>
      <c r="L1422" s="2" t="s">
        <v>294</v>
      </c>
      <c r="M1422" s="42">
        <f>IFERROR(VLOOKUP(TA[[#This Row],[Affected Equipment]],'Basic Data'!$I$2:$K$40,3,0),"")</f>
        <v>1.7241379310344799E-3</v>
      </c>
      <c r="N1422">
        <v>-28</v>
      </c>
      <c r="O1422" t="s">
        <v>135</v>
      </c>
      <c r="P1422" s="127" t="s">
        <v>318</v>
      </c>
      <c r="Q1422" s="126" t="s">
        <v>318</v>
      </c>
      <c r="R1422">
        <v>131</v>
      </c>
      <c r="S1422" s="2">
        <v>39</v>
      </c>
      <c r="T1422" t="s">
        <v>295</v>
      </c>
      <c r="U1422" t="s">
        <v>300</v>
      </c>
      <c r="V1422" t="s">
        <v>298</v>
      </c>
      <c r="W1422" s="41"/>
      <c r="X1422" s="41"/>
      <c r="Y1422" s="34"/>
      <c r="Z1422" s="34"/>
      <c r="AA1422" s="35">
        <f>IF(TA[[#This Row],[Work Start time on Fault]]="NA","",(TA[[#This Row],[Fault Acknowledgement Time ]]-TA[[#This Row],[Fault Time]])*24)</f>
        <v>0</v>
      </c>
      <c r="AB1422" s="35">
        <f>(TA[[#This Row],[Work Start time on Fault]]-TA[[#This Row],[Fault Time]])*24</f>
        <v>0</v>
      </c>
      <c r="AC1422" s="34">
        <f>(TA[[#This Row],[Work Completion time on fault]]-TA[[#This Row],[Fault Time]])*24</f>
        <v>0</v>
      </c>
      <c r="AD1422" s="35">
        <f>IFERROR((TA[[#This Row],[Work Completion time on fault]]-TA[[#This Row],[Fault Time]])*24,"")</f>
        <v>0</v>
      </c>
      <c r="AE1422" t="s">
        <v>328</v>
      </c>
      <c r="AF1422" t="s">
        <v>256</v>
      </c>
      <c r="AG1422" s="2"/>
      <c r="AH1422" s="44">
        <f>1-COS(RADIANS(TA[[#This Row],[Avg. Target Angle during Fault Time (Radians)]]-TA[[#This Row],[Angle of affected equipment ]]))</f>
        <v>0.11705240714107301</v>
      </c>
      <c r="AI1422" s="35">
        <f>IFERROR(TA[[#This Row],[Breakdown Time]]*TA[[#This Row],[Plant Equivalent Weightage]],"")</f>
        <v>0</v>
      </c>
    </row>
    <row r="1423" spans="1:35">
      <c r="A1423" s="2">
        <f t="shared" si="165"/>
        <v>1420</v>
      </c>
      <c r="B1423" s="156">
        <f t="shared" si="170"/>
        <v>2026</v>
      </c>
      <c r="C1423" s="129">
        <f t="shared" si="171"/>
        <v>2025</v>
      </c>
      <c r="D1423" s="2" t="s">
        <v>155</v>
      </c>
      <c r="E1423" s="2" t="s">
        <v>155</v>
      </c>
      <c r="F1423" s="39">
        <v>45839</v>
      </c>
      <c r="G1423" s="2">
        <f>DAY(EOMONTH(TA[[#This Row],[Month Year]],0))</f>
        <v>31</v>
      </c>
      <c r="H1423" s="21">
        <v>45846</v>
      </c>
      <c r="I1423" s="41">
        <f>IFERROR(VLOOKUP(TA[[#This Row],[Date]],Raw_Data[[Date]:[Sunset Time (POA&lt;20 W/m2)]],3,0),"")</f>
        <v>0.25833333333333336</v>
      </c>
      <c r="J1423" s="41">
        <f>IFERROR(VLOOKUP(TA[[#This Row],[Date]],Raw_Data[[Date]:[Sunset Time (POA&lt;20 W/m2)]],4,0),"")</f>
        <v>0.77916666666666667</v>
      </c>
      <c r="K1423" s="35">
        <f>IFERROR((TA[[#This Row],[Sunset Time (POA&lt;20 W/m2)]]-TA[[#This Row],[Sunrise Time (POA&gt;20 W/m2)]])*24,"")</f>
        <v>12.499999999999998</v>
      </c>
      <c r="L1423" s="2" t="s">
        <v>296</v>
      </c>
      <c r="M1423" s="42">
        <f>IFERROR(VLOOKUP(TA[[#This Row],[Affected Equipment]],'Basic Data'!$I$2:$K$40,3,0),"")</f>
        <v>8.6206896551724102E-3</v>
      </c>
      <c r="N1423">
        <v>-28</v>
      </c>
      <c r="O1423" t="s">
        <v>135</v>
      </c>
      <c r="P1423" s="127" t="s">
        <v>318</v>
      </c>
      <c r="Q1423" s="2" t="s">
        <v>321</v>
      </c>
      <c r="R1423">
        <v>133</v>
      </c>
      <c r="S1423" s="2">
        <v>26</v>
      </c>
      <c r="T1423" t="s">
        <v>297</v>
      </c>
      <c r="U1423" t="s">
        <v>300</v>
      </c>
      <c r="V1423" t="s">
        <v>314</v>
      </c>
      <c r="W1423" s="41">
        <f>IFERROR(VLOOKUP(TA[[#This Row],[Date]],Raw_Data[[Date]:[Sunset Time (POA&lt;20 W/m2)]],3,0),"")</f>
        <v>0.25833333333333336</v>
      </c>
      <c r="X1423" s="41">
        <f>IFERROR(VLOOKUP(TA[[#This Row],[Date]],Raw_Data[[Date]:[Sunset Time (POA&lt;20 W/m2)]],3,0),"")</f>
        <v>0.25833333333333336</v>
      </c>
      <c r="Y1423" s="34"/>
      <c r="Z1423" s="34">
        <v>0.76041666666666663</v>
      </c>
      <c r="AA1423" s="35">
        <f>IF(TA[[#This Row],[Work Start time on Fault]]="NA","",(TA[[#This Row],[Fault Acknowledgement Time ]]-TA[[#This Row],[Fault Time]])*24)</f>
        <v>0</v>
      </c>
      <c r="AB1423" s="35">
        <f>(TA[[#This Row],[Work Start time on Fault]]-TA[[#This Row],[Fault Time]])*24</f>
        <v>-6.2000000000000011</v>
      </c>
      <c r="AC1423" s="34">
        <f>(TA[[#This Row],[Work Completion time on fault]]-TA[[#This Row],[Fault Time]])*24</f>
        <v>12.049999999999997</v>
      </c>
      <c r="AD1423" s="35">
        <f>IFERROR((TA[[#This Row],[Work Completion time on fault]]-TA[[#This Row],[Fault Time]])*24,"")</f>
        <v>12.049999999999997</v>
      </c>
      <c r="AE1423" t="s">
        <v>328</v>
      </c>
      <c r="AF1423" t="s">
        <v>256</v>
      </c>
      <c r="AG1423" s="2"/>
      <c r="AH1423" s="44">
        <f>1-COS(RADIANS(TA[[#This Row],[Avg. Target Angle during Fault Time (Radians)]]-TA[[#This Row],[Angle of affected equipment ]]))</f>
        <v>0.11705240714107301</v>
      </c>
      <c r="AI1423" s="35">
        <f>IFERROR(TA[[#This Row],[Breakdown Time]]*TA[[#This Row],[Plant Equivalent Weightage]],"")</f>
        <v>0.10387931034482752</v>
      </c>
    </row>
    <row r="1424" spans="1:35">
      <c r="A1424" s="2">
        <f t="shared" si="165"/>
        <v>1421</v>
      </c>
      <c r="B1424" s="156">
        <f t="shared" si="170"/>
        <v>2026</v>
      </c>
      <c r="C1424" s="129">
        <f t="shared" si="171"/>
        <v>2025</v>
      </c>
      <c r="D1424" s="2" t="s">
        <v>155</v>
      </c>
      <c r="E1424" s="2" t="s">
        <v>155</v>
      </c>
      <c r="F1424" s="39">
        <v>45839</v>
      </c>
      <c r="G1424" s="2">
        <f>DAY(EOMONTH(TA[[#This Row],[Month Year]],0))</f>
        <v>31</v>
      </c>
      <c r="H1424" s="21">
        <v>45846</v>
      </c>
      <c r="I1424" s="41">
        <f>IFERROR(VLOOKUP(TA[[#This Row],[Date]],Raw_Data[[Date]:[Sunset Time (POA&lt;20 W/m2)]],3,0),"")</f>
        <v>0.25833333333333336</v>
      </c>
      <c r="J1424" s="41">
        <f>IFERROR(VLOOKUP(TA[[#This Row],[Date]],Raw_Data[[Date]:[Sunset Time (POA&lt;20 W/m2)]],4,0),"")</f>
        <v>0.77916666666666667</v>
      </c>
      <c r="K1424" s="35">
        <f>IFERROR((TA[[#This Row],[Sunset Time (POA&lt;20 W/m2)]]-TA[[#This Row],[Sunrise Time (POA&gt;20 W/m2)]])*24,"")</f>
        <v>12.499999999999998</v>
      </c>
      <c r="L1424" s="2" t="s">
        <v>294</v>
      </c>
      <c r="M1424" s="42">
        <f>IFERROR(VLOOKUP(TA[[#This Row],[Affected Equipment]],'Basic Data'!$I$2:$K$40,3,0),"")</f>
        <v>1.7241379310344799E-3</v>
      </c>
      <c r="N1424">
        <v>-28</v>
      </c>
      <c r="O1424" t="s">
        <v>133</v>
      </c>
      <c r="P1424" s="127" t="s">
        <v>316</v>
      </c>
      <c r="Q1424" s="126" t="s">
        <v>317</v>
      </c>
      <c r="R1424">
        <v>7</v>
      </c>
      <c r="S1424" s="2">
        <v>32</v>
      </c>
      <c r="T1424" t="s">
        <v>295</v>
      </c>
      <c r="U1424" t="s">
        <v>300</v>
      </c>
      <c r="V1424" t="s">
        <v>298</v>
      </c>
      <c r="W1424" s="41"/>
      <c r="X1424" s="41"/>
      <c r="Y1424" s="34"/>
      <c r="Z1424" s="34"/>
      <c r="AA1424" s="35">
        <f>IF(TA[[#This Row],[Work Start time on Fault]]="NA","",(TA[[#This Row],[Fault Acknowledgement Time ]]-TA[[#This Row],[Fault Time]])*24)</f>
        <v>0</v>
      </c>
      <c r="AB1424" s="35">
        <f>(TA[[#This Row],[Work Start time on Fault]]-TA[[#This Row],[Fault Time]])*24</f>
        <v>0</v>
      </c>
      <c r="AC1424" s="34">
        <f>(TA[[#This Row],[Work Completion time on fault]]-TA[[#This Row],[Fault Time]])*24</f>
        <v>0</v>
      </c>
      <c r="AD1424" s="35">
        <f>IFERROR((TA[[#This Row],[Work Completion time on fault]]-TA[[#This Row],[Fault Time]])*24,"")</f>
        <v>0</v>
      </c>
      <c r="AE1424" t="s">
        <v>328</v>
      </c>
      <c r="AF1424" t="s">
        <v>256</v>
      </c>
      <c r="AG1424" s="2"/>
      <c r="AH1424" s="44">
        <f>1-COS(RADIANS(TA[[#This Row],[Avg. Target Angle during Fault Time (Radians)]]-TA[[#This Row],[Angle of affected equipment ]]))</f>
        <v>0.11705240714107301</v>
      </c>
      <c r="AI1424" s="35">
        <f>IFERROR(TA[[#This Row],[Breakdown Time]]*TA[[#This Row],[Plant Equivalent Weightage]],"")</f>
        <v>0</v>
      </c>
    </row>
    <row r="1425" spans="1:35">
      <c r="A1425" s="2">
        <f t="shared" si="165"/>
        <v>1422</v>
      </c>
      <c r="B1425" s="156">
        <f t="shared" si="170"/>
        <v>2026</v>
      </c>
      <c r="C1425" s="129">
        <f t="shared" si="171"/>
        <v>2025</v>
      </c>
      <c r="D1425" s="2" t="s">
        <v>155</v>
      </c>
      <c r="E1425" s="2" t="s">
        <v>155</v>
      </c>
      <c r="F1425" s="39">
        <v>45839</v>
      </c>
      <c r="G1425" s="2">
        <f>DAY(EOMONTH(TA[[#This Row],[Month Year]],0))</f>
        <v>31</v>
      </c>
      <c r="H1425" s="21">
        <v>45846</v>
      </c>
      <c r="I1425" s="41">
        <f>IFERROR(VLOOKUP(TA[[#This Row],[Date]],Raw_Data[[Date]:[Sunset Time (POA&lt;20 W/m2)]],3,0),"")</f>
        <v>0.25833333333333336</v>
      </c>
      <c r="J1425" s="41">
        <f>IFERROR(VLOOKUP(TA[[#This Row],[Date]],Raw_Data[[Date]:[Sunset Time (POA&lt;20 W/m2)]],4,0),"")</f>
        <v>0.77916666666666667</v>
      </c>
      <c r="K1425" s="35">
        <f>IFERROR((TA[[#This Row],[Sunset Time (POA&lt;20 W/m2)]]-TA[[#This Row],[Sunrise Time (POA&gt;20 W/m2)]])*24,"")</f>
        <v>12.499999999999998</v>
      </c>
      <c r="L1425" s="2" t="s">
        <v>294</v>
      </c>
      <c r="M1425" s="42">
        <f>IFERROR(VLOOKUP(TA[[#This Row],[Affected Equipment]],'Basic Data'!$I$2:$K$40,3,0),"")</f>
        <v>1.7241379310344799E-3</v>
      </c>
      <c r="N1425">
        <v>-28</v>
      </c>
      <c r="O1425" t="s">
        <v>137</v>
      </c>
      <c r="P1425" s="127" t="s">
        <v>315</v>
      </c>
      <c r="Q1425" s="126" t="s">
        <v>319</v>
      </c>
      <c r="R1425">
        <v>166</v>
      </c>
      <c r="S1425" s="2">
        <v>91</v>
      </c>
      <c r="T1425" t="s">
        <v>295</v>
      </c>
      <c r="U1425" t="s">
        <v>300</v>
      </c>
      <c r="V1425" t="s">
        <v>298</v>
      </c>
      <c r="W1425" s="41"/>
      <c r="X1425" s="41"/>
      <c r="Y1425" s="34"/>
      <c r="Z1425" s="34"/>
      <c r="AA1425" s="35">
        <f>IF(TA[[#This Row],[Work Start time on Fault]]="NA","",(TA[[#This Row],[Fault Acknowledgement Time ]]-TA[[#This Row],[Fault Time]])*24)</f>
        <v>0</v>
      </c>
      <c r="AB1425" s="35">
        <f>(TA[[#This Row],[Work Start time on Fault]]-TA[[#This Row],[Fault Time]])*24</f>
        <v>0</v>
      </c>
      <c r="AC1425" s="34">
        <f>(TA[[#This Row],[Work Completion time on fault]]-TA[[#This Row],[Fault Time]])*24</f>
        <v>0</v>
      </c>
      <c r="AD1425" s="35">
        <f>IFERROR((TA[[#This Row],[Work Completion time on fault]]-TA[[#This Row],[Fault Time]])*24,"")</f>
        <v>0</v>
      </c>
      <c r="AE1425" t="s">
        <v>328</v>
      </c>
      <c r="AF1425" t="s">
        <v>256</v>
      </c>
      <c r="AG1425" s="2"/>
      <c r="AH1425" s="44">
        <f>1-COS(RADIANS(TA[[#This Row],[Avg. Target Angle during Fault Time (Radians)]]-TA[[#This Row],[Angle of affected equipment ]]))</f>
        <v>0.11705240714107301</v>
      </c>
      <c r="AI1425" s="35">
        <f>IFERROR(TA[[#This Row],[Breakdown Time]]*TA[[#This Row],[Plant Equivalent Weightage]],"")</f>
        <v>0</v>
      </c>
    </row>
    <row r="1426" spans="1:35">
      <c r="A1426" s="2">
        <f t="shared" si="165"/>
        <v>1423</v>
      </c>
      <c r="B1426" s="156">
        <f t="shared" si="170"/>
        <v>2026</v>
      </c>
      <c r="C1426" s="129">
        <f t="shared" si="171"/>
        <v>2025</v>
      </c>
      <c r="D1426" s="2" t="s">
        <v>155</v>
      </c>
      <c r="E1426" s="2" t="s">
        <v>155</v>
      </c>
      <c r="F1426" s="39">
        <v>45839</v>
      </c>
      <c r="G1426" s="2">
        <f>DAY(EOMONTH(TA[[#This Row],[Month Year]],0))</f>
        <v>31</v>
      </c>
      <c r="H1426" s="21">
        <v>45846</v>
      </c>
      <c r="I1426" s="41">
        <f>IFERROR(VLOOKUP(TA[[#This Row],[Date]],Raw_Data[[Date]:[Sunset Time (POA&lt;20 W/m2)]],3,0),"")</f>
        <v>0.25833333333333336</v>
      </c>
      <c r="J1426" s="41">
        <f>IFERROR(VLOOKUP(TA[[#This Row],[Date]],Raw_Data[[Date]:[Sunset Time (POA&lt;20 W/m2)]],4,0),"")</f>
        <v>0.77916666666666667</v>
      </c>
      <c r="K1426" s="35">
        <f>IFERROR((TA[[#This Row],[Sunset Time (POA&lt;20 W/m2)]]-TA[[#This Row],[Sunrise Time (POA&gt;20 W/m2)]])*24,"")</f>
        <v>12.499999999999998</v>
      </c>
      <c r="L1426" s="2" t="s">
        <v>294</v>
      </c>
      <c r="M1426" s="42">
        <f>IFERROR(VLOOKUP(TA[[#This Row],[Affected Equipment]],'Basic Data'!$I$2:$K$40,3,0),"")</f>
        <v>1.7241379310344799E-3</v>
      </c>
      <c r="N1426">
        <v>-28</v>
      </c>
      <c r="O1426" t="s">
        <v>133</v>
      </c>
      <c r="P1426" s="127" t="s">
        <v>316</v>
      </c>
      <c r="Q1426" s="126" t="s">
        <v>316</v>
      </c>
      <c r="R1426">
        <v>117</v>
      </c>
      <c r="S1426" s="2">
        <v>20</v>
      </c>
      <c r="T1426" t="s">
        <v>295</v>
      </c>
      <c r="U1426" t="s">
        <v>300</v>
      </c>
      <c r="V1426" t="s">
        <v>298</v>
      </c>
      <c r="W1426" s="41"/>
      <c r="X1426" s="41"/>
      <c r="Y1426" s="34"/>
      <c r="Z1426" s="34"/>
      <c r="AA1426" s="35">
        <f>IF(TA[[#This Row],[Work Start time on Fault]]="NA","",(TA[[#This Row],[Fault Acknowledgement Time ]]-TA[[#This Row],[Fault Time]])*24)</f>
        <v>0</v>
      </c>
      <c r="AB1426" s="35">
        <f>(TA[[#This Row],[Work Start time on Fault]]-TA[[#This Row],[Fault Time]])*24</f>
        <v>0</v>
      </c>
      <c r="AC1426" s="34">
        <f>(TA[[#This Row],[Work Completion time on fault]]-TA[[#This Row],[Fault Time]])*24</f>
        <v>0</v>
      </c>
      <c r="AD1426" s="35">
        <f>IFERROR((TA[[#This Row],[Work Completion time on fault]]-TA[[#This Row],[Fault Time]])*24,"")</f>
        <v>0</v>
      </c>
      <c r="AE1426" t="s">
        <v>328</v>
      </c>
      <c r="AF1426" t="s">
        <v>256</v>
      </c>
      <c r="AG1426" s="2"/>
      <c r="AH1426" s="44">
        <f>1-COS(RADIANS(TA[[#This Row],[Avg. Target Angle during Fault Time (Radians)]]-TA[[#This Row],[Angle of affected equipment ]]))</f>
        <v>0.11705240714107301</v>
      </c>
      <c r="AI1426" s="35">
        <f>IFERROR(TA[[#This Row],[Breakdown Time]]*TA[[#This Row],[Plant Equivalent Weightage]],"")</f>
        <v>0</v>
      </c>
    </row>
    <row r="1427" spans="1:35">
      <c r="A1427" s="2">
        <f t="shared" si="165"/>
        <v>1424</v>
      </c>
      <c r="B1427" s="156">
        <f t="shared" si="170"/>
        <v>2026</v>
      </c>
      <c r="C1427" s="129">
        <f t="shared" si="171"/>
        <v>2025</v>
      </c>
      <c r="D1427" s="2" t="s">
        <v>155</v>
      </c>
      <c r="E1427" s="2" t="s">
        <v>155</v>
      </c>
      <c r="F1427" s="39">
        <v>45839</v>
      </c>
      <c r="G1427" s="2">
        <f>DAY(EOMONTH(TA[[#This Row],[Month Year]],0))</f>
        <v>31</v>
      </c>
      <c r="H1427" s="21">
        <v>45846</v>
      </c>
      <c r="I1427" s="41">
        <f>IFERROR(VLOOKUP(TA[[#This Row],[Date]],Raw_Data[[Date]:[Sunset Time (POA&lt;20 W/m2)]],3,0),"")</f>
        <v>0.25833333333333336</v>
      </c>
      <c r="J1427" s="41">
        <f>IFERROR(VLOOKUP(TA[[#This Row],[Date]],Raw_Data[[Date]:[Sunset Time (POA&lt;20 W/m2)]],4,0),"")</f>
        <v>0.77916666666666667</v>
      </c>
      <c r="K1427" s="35">
        <f>IFERROR((TA[[#This Row],[Sunset Time (POA&lt;20 W/m2)]]-TA[[#This Row],[Sunrise Time (POA&gt;20 W/m2)]])*24,"")</f>
        <v>12.499999999999998</v>
      </c>
      <c r="L1427" s="2" t="s">
        <v>294</v>
      </c>
      <c r="M1427" s="42">
        <f>IFERROR(VLOOKUP(TA[[#This Row],[Affected Equipment]],'Basic Data'!$I$2:$K$40,3,0),"")</f>
        <v>1.7241379310344799E-3</v>
      </c>
      <c r="N1427">
        <v>-28</v>
      </c>
      <c r="O1427" t="s">
        <v>133</v>
      </c>
      <c r="P1427" s="127" t="s">
        <v>316</v>
      </c>
      <c r="Q1427" s="126" t="s">
        <v>316</v>
      </c>
      <c r="R1427">
        <v>118</v>
      </c>
      <c r="S1427" s="2">
        <v>22</v>
      </c>
      <c r="T1427" t="s">
        <v>295</v>
      </c>
      <c r="U1427" t="s">
        <v>300</v>
      </c>
      <c r="V1427" t="s">
        <v>298</v>
      </c>
      <c r="W1427" s="41"/>
      <c r="X1427" s="41"/>
      <c r="Y1427" s="34"/>
      <c r="Z1427" s="34"/>
      <c r="AA1427" s="35">
        <f>IF(TA[[#This Row],[Work Start time on Fault]]="NA","",(TA[[#This Row],[Fault Acknowledgement Time ]]-TA[[#This Row],[Fault Time]])*24)</f>
        <v>0</v>
      </c>
      <c r="AB1427" s="35">
        <f>(TA[[#This Row],[Work Start time on Fault]]-TA[[#This Row],[Fault Time]])*24</f>
        <v>0</v>
      </c>
      <c r="AC1427" s="34">
        <f>(TA[[#This Row],[Work Completion time on fault]]-TA[[#This Row],[Fault Time]])*24</f>
        <v>0</v>
      </c>
      <c r="AD1427" s="35">
        <f>IFERROR((TA[[#This Row],[Work Completion time on fault]]-TA[[#This Row],[Fault Time]])*24,"")</f>
        <v>0</v>
      </c>
      <c r="AE1427" t="s">
        <v>328</v>
      </c>
      <c r="AF1427" t="s">
        <v>256</v>
      </c>
      <c r="AG1427" s="2"/>
      <c r="AH1427" s="44">
        <f>1-COS(RADIANS(TA[[#This Row],[Avg. Target Angle during Fault Time (Radians)]]-TA[[#This Row],[Angle of affected equipment ]]))</f>
        <v>0.11705240714107301</v>
      </c>
      <c r="AI1427" s="35">
        <f>IFERROR(TA[[#This Row],[Breakdown Time]]*TA[[#This Row],[Plant Equivalent Weightage]],"")</f>
        <v>0</v>
      </c>
    </row>
    <row r="1428" spans="1:35">
      <c r="A1428" s="2">
        <f t="shared" si="165"/>
        <v>1425</v>
      </c>
      <c r="B1428" s="156">
        <f t="shared" si="170"/>
        <v>2026</v>
      </c>
      <c r="C1428" s="129">
        <f t="shared" si="171"/>
        <v>2025</v>
      </c>
      <c r="D1428" s="2" t="s">
        <v>155</v>
      </c>
      <c r="E1428" s="2" t="s">
        <v>155</v>
      </c>
      <c r="F1428" s="39">
        <v>45839</v>
      </c>
      <c r="G1428" s="2">
        <f>DAY(EOMONTH(TA[[#This Row],[Month Year]],0))</f>
        <v>31</v>
      </c>
      <c r="H1428" s="21">
        <v>45846</v>
      </c>
      <c r="I1428" s="41">
        <f>IFERROR(VLOOKUP(TA[[#This Row],[Date]],Raw_Data[[Date]:[Sunset Time (POA&lt;20 W/m2)]],3,0),"")</f>
        <v>0.25833333333333336</v>
      </c>
      <c r="J1428" s="41">
        <f>IFERROR(VLOOKUP(TA[[#This Row],[Date]],Raw_Data[[Date]:[Sunset Time (POA&lt;20 W/m2)]],4,0),"")</f>
        <v>0.77916666666666667</v>
      </c>
      <c r="K1428" s="35">
        <f>IFERROR((TA[[#This Row],[Sunset Time (POA&lt;20 W/m2)]]-TA[[#This Row],[Sunrise Time (POA&gt;20 W/m2)]])*24,"")</f>
        <v>12.499999999999998</v>
      </c>
      <c r="L1428" s="2" t="s">
        <v>296</v>
      </c>
      <c r="M1428" s="42">
        <f>IFERROR(VLOOKUP(TA[[#This Row],[Affected Equipment]],'Basic Data'!$I$2:$K$40,3,0),"")</f>
        <v>8.6206896551724102E-3</v>
      </c>
      <c r="N1428">
        <v>-28</v>
      </c>
      <c r="O1428" t="s">
        <v>135</v>
      </c>
      <c r="P1428" s="22" t="s">
        <v>323</v>
      </c>
      <c r="Q1428" s="2" t="s">
        <v>329</v>
      </c>
      <c r="R1428">
        <v>45</v>
      </c>
      <c r="S1428" s="2">
        <v>8</v>
      </c>
      <c r="T1428" t="s">
        <v>297</v>
      </c>
      <c r="U1428" t="s">
        <v>300</v>
      </c>
      <c r="V1428" t="s">
        <v>301</v>
      </c>
      <c r="W1428" s="41"/>
      <c r="X1428" s="41"/>
      <c r="Y1428" s="34"/>
      <c r="Z1428" s="34"/>
      <c r="AA1428" s="35">
        <f>IF(TA[[#This Row],[Work Start time on Fault]]="NA","",(TA[[#This Row],[Fault Acknowledgement Time ]]-TA[[#This Row],[Fault Time]])*24)</f>
        <v>0</v>
      </c>
      <c r="AB1428" s="35">
        <f>(TA[[#This Row],[Work Start time on Fault]]-TA[[#This Row],[Fault Time]])*24</f>
        <v>0</v>
      </c>
      <c r="AC1428" s="34">
        <f>(TA[[#This Row],[Work Completion time on fault]]-TA[[#This Row],[Fault Time]])*24</f>
        <v>0</v>
      </c>
      <c r="AD1428" s="35">
        <f>IFERROR((TA[[#This Row],[Work Completion time on fault]]-TA[[#This Row],[Fault Time]])*24,"")</f>
        <v>0</v>
      </c>
      <c r="AE1428" t="s">
        <v>328</v>
      </c>
      <c r="AF1428" t="s">
        <v>256</v>
      </c>
      <c r="AG1428" s="2"/>
      <c r="AH1428" s="44">
        <f>1-COS(RADIANS(TA[[#This Row],[Avg. Target Angle during Fault Time (Radians)]]-TA[[#This Row],[Angle of affected equipment ]]))</f>
        <v>0.11705240714107301</v>
      </c>
      <c r="AI1428" s="35">
        <f>IFERROR(TA[[#This Row],[Breakdown Time]]*TA[[#This Row],[Plant Equivalent Weightage]],"")</f>
        <v>0</v>
      </c>
    </row>
    <row r="1429" spans="1:35">
      <c r="A1429" s="2">
        <f t="shared" si="165"/>
        <v>1426</v>
      </c>
      <c r="B1429" s="156">
        <f t="shared" si="170"/>
        <v>2026</v>
      </c>
      <c r="C1429" s="129">
        <f t="shared" si="171"/>
        <v>2025</v>
      </c>
      <c r="D1429" s="2" t="s">
        <v>155</v>
      </c>
      <c r="E1429" s="2" t="s">
        <v>155</v>
      </c>
      <c r="F1429" s="39">
        <v>45839</v>
      </c>
      <c r="G1429" s="2">
        <f>DAY(EOMONTH(TA[[#This Row],[Month Year]],0))</f>
        <v>31</v>
      </c>
      <c r="H1429" s="21">
        <v>45846</v>
      </c>
      <c r="I1429" s="41">
        <f>IFERROR(VLOOKUP(TA[[#This Row],[Date]],Raw_Data[[Date]:[Sunset Time (POA&lt;20 W/m2)]],3,0),"")</f>
        <v>0.25833333333333336</v>
      </c>
      <c r="J1429" s="41">
        <f>IFERROR(VLOOKUP(TA[[#This Row],[Date]],Raw_Data[[Date]:[Sunset Time (POA&lt;20 W/m2)]],4,0),"")</f>
        <v>0.77916666666666667</v>
      </c>
      <c r="K1429" s="35">
        <f>IFERROR((TA[[#This Row],[Sunset Time (POA&lt;20 W/m2)]]-TA[[#This Row],[Sunrise Time (POA&gt;20 W/m2)]])*24,"")</f>
        <v>12.499999999999998</v>
      </c>
      <c r="L1429" s="2" t="s">
        <v>296</v>
      </c>
      <c r="M1429" s="42">
        <f>IFERROR(VLOOKUP(TA[[#This Row],[Affected Equipment]],'Basic Data'!$I$2:$K$40,3,0),"")</f>
        <v>8.6206896551724102E-3</v>
      </c>
      <c r="N1429">
        <v>-28</v>
      </c>
      <c r="O1429" t="s">
        <v>135</v>
      </c>
      <c r="P1429" s="22" t="s">
        <v>323</v>
      </c>
      <c r="Q1429" s="2" t="s">
        <v>329</v>
      </c>
      <c r="R1429">
        <v>47</v>
      </c>
      <c r="S1429" s="2">
        <v>18</v>
      </c>
      <c r="T1429" t="s">
        <v>297</v>
      </c>
      <c r="U1429" t="s">
        <v>300</v>
      </c>
      <c r="V1429" t="s">
        <v>301</v>
      </c>
      <c r="W1429" s="41"/>
      <c r="X1429" s="41"/>
      <c r="Y1429" s="34"/>
      <c r="Z1429" s="34"/>
      <c r="AA1429" s="35">
        <f>IF(TA[[#This Row],[Work Start time on Fault]]="NA","",(TA[[#This Row],[Fault Acknowledgement Time ]]-TA[[#This Row],[Fault Time]])*24)</f>
        <v>0</v>
      </c>
      <c r="AB1429" s="35">
        <f>(TA[[#This Row],[Work Start time on Fault]]-TA[[#This Row],[Fault Time]])*24</f>
        <v>0</v>
      </c>
      <c r="AC1429" s="34">
        <f>(TA[[#This Row],[Work Completion time on fault]]-TA[[#This Row],[Fault Time]])*24</f>
        <v>0</v>
      </c>
      <c r="AD1429" s="35">
        <f>IFERROR((TA[[#This Row],[Work Completion time on fault]]-TA[[#This Row],[Fault Time]])*24,"")</f>
        <v>0</v>
      </c>
      <c r="AE1429" t="s">
        <v>328</v>
      </c>
      <c r="AF1429" t="s">
        <v>256</v>
      </c>
      <c r="AG1429" s="2"/>
      <c r="AH1429" s="44">
        <f>1-COS(RADIANS(TA[[#This Row],[Avg. Target Angle during Fault Time (Radians)]]-TA[[#This Row],[Angle of affected equipment ]]))</f>
        <v>0.11705240714107301</v>
      </c>
      <c r="AI1429" s="35">
        <f>IFERROR(TA[[#This Row],[Breakdown Time]]*TA[[#This Row],[Plant Equivalent Weightage]],"")</f>
        <v>0</v>
      </c>
    </row>
    <row r="1430" spans="1:35">
      <c r="A1430" s="2">
        <f t="shared" si="165"/>
        <v>1427</v>
      </c>
      <c r="B1430" s="156">
        <f t="shared" si="170"/>
        <v>2026</v>
      </c>
      <c r="C1430" s="129">
        <f t="shared" si="171"/>
        <v>2025</v>
      </c>
      <c r="D1430" s="2" t="s">
        <v>155</v>
      </c>
      <c r="E1430" s="2" t="s">
        <v>155</v>
      </c>
      <c r="F1430" s="39">
        <v>45839</v>
      </c>
      <c r="G1430" s="2">
        <f>DAY(EOMONTH(TA[[#This Row],[Month Year]],0))</f>
        <v>31</v>
      </c>
      <c r="H1430" s="21">
        <v>45846</v>
      </c>
      <c r="I1430" s="41">
        <f>IFERROR(VLOOKUP(TA[[#This Row],[Date]],Raw_Data[[Date]:[Sunset Time (POA&lt;20 W/m2)]],3,0),"")</f>
        <v>0.25833333333333336</v>
      </c>
      <c r="J1430" s="41">
        <f>IFERROR(VLOOKUP(TA[[#This Row],[Date]],Raw_Data[[Date]:[Sunset Time (POA&lt;20 W/m2)]],4,0),"")</f>
        <v>0.77916666666666667</v>
      </c>
      <c r="K1430" s="35">
        <f>IFERROR((TA[[#This Row],[Sunset Time (POA&lt;20 W/m2)]]-TA[[#This Row],[Sunrise Time (POA&gt;20 W/m2)]])*24,"")</f>
        <v>12.499999999999998</v>
      </c>
      <c r="L1430" s="2" t="s">
        <v>296</v>
      </c>
      <c r="M1430" s="42">
        <f>IFERROR(VLOOKUP(TA[[#This Row],[Affected Equipment]],'Basic Data'!$I$2:$K$40,3,0),"")</f>
        <v>8.6206896551724102E-3</v>
      </c>
      <c r="N1430">
        <v>-28</v>
      </c>
      <c r="O1430" t="s">
        <v>134</v>
      </c>
      <c r="P1430" s="22" t="s">
        <v>330</v>
      </c>
      <c r="Q1430" s="2" t="s">
        <v>323</v>
      </c>
      <c r="R1430">
        <v>30</v>
      </c>
      <c r="S1430" s="2">
        <v>57</v>
      </c>
      <c r="T1430" t="s">
        <v>297</v>
      </c>
      <c r="U1430" t="s">
        <v>300</v>
      </c>
      <c r="V1430" t="s">
        <v>301</v>
      </c>
      <c r="W1430" s="41"/>
      <c r="X1430" s="41"/>
      <c r="Y1430" s="34"/>
      <c r="Z1430" s="34"/>
      <c r="AA1430" s="35">
        <f>IF(TA[[#This Row],[Work Start time on Fault]]="NA","",(TA[[#This Row],[Fault Acknowledgement Time ]]-TA[[#This Row],[Fault Time]])*24)</f>
        <v>0</v>
      </c>
      <c r="AB1430" s="35">
        <f>(TA[[#This Row],[Work Start time on Fault]]-TA[[#This Row],[Fault Time]])*24</f>
        <v>0</v>
      </c>
      <c r="AC1430" s="34">
        <f>(TA[[#This Row],[Work Completion time on fault]]-TA[[#This Row],[Fault Time]])*24</f>
        <v>0</v>
      </c>
      <c r="AD1430" s="35">
        <f>IFERROR((TA[[#This Row],[Work Completion time on fault]]-TA[[#This Row],[Fault Time]])*24,"")</f>
        <v>0</v>
      </c>
      <c r="AE1430" t="s">
        <v>328</v>
      </c>
      <c r="AF1430" t="s">
        <v>256</v>
      </c>
      <c r="AG1430" s="2"/>
      <c r="AH1430" s="44">
        <f>1-COS(RADIANS(TA[[#This Row],[Avg. Target Angle during Fault Time (Radians)]]-TA[[#This Row],[Angle of affected equipment ]]))</f>
        <v>0.11705240714107301</v>
      </c>
      <c r="AI1430" s="35">
        <f>IFERROR(TA[[#This Row],[Breakdown Time]]*TA[[#This Row],[Plant Equivalent Weightage]],"")</f>
        <v>0</v>
      </c>
    </row>
    <row r="1431" spans="1:35">
      <c r="A1431" s="2">
        <f t="shared" si="165"/>
        <v>1428</v>
      </c>
      <c r="B1431" s="156">
        <f t="shared" si="170"/>
        <v>2026</v>
      </c>
      <c r="C1431" s="129">
        <f t="shared" si="171"/>
        <v>2025</v>
      </c>
      <c r="D1431" s="2" t="s">
        <v>155</v>
      </c>
      <c r="E1431" s="2" t="s">
        <v>155</v>
      </c>
      <c r="F1431" s="39">
        <v>45839</v>
      </c>
      <c r="G1431" s="2">
        <f>DAY(EOMONTH(TA[[#This Row],[Month Year]],0))</f>
        <v>31</v>
      </c>
      <c r="H1431" s="21">
        <v>45846</v>
      </c>
      <c r="I1431" s="41">
        <f>IFERROR(VLOOKUP(TA[[#This Row],[Date]],Raw_Data[[Date]:[Sunset Time (POA&lt;20 W/m2)]],3,0),"")</f>
        <v>0.25833333333333336</v>
      </c>
      <c r="J1431" s="41">
        <f>IFERROR(VLOOKUP(TA[[#This Row],[Date]],Raw_Data[[Date]:[Sunset Time (POA&lt;20 W/m2)]],4,0),"")</f>
        <v>0.77916666666666667</v>
      </c>
      <c r="K1431" s="35">
        <f>IFERROR((TA[[#This Row],[Sunset Time (POA&lt;20 W/m2)]]-TA[[#This Row],[Sunrise Time (POA&gt;20 W/m2)]])*24,"")</f>
        <v>12.499999999999998</v>
      </c>
      <c r="L1431" s="2" t="s">
        <v>296</v>
      </c>
      <c r="M1431" s="42">
        <f>IFERROR(VLOOKUP(TA[[#This Row],[Affected Equipment]],'Basic Data'!$I$2:$K$40,3,0),"")</f>
        <v>8.6206896551724102E-3</v>
      </c>
      <c r="N1431">
        <v>-28</v>
      </c>
      <c r="O1431" t="s">
        <v>134</v>
      </c>
      <c r="P1431" s="22" t="s">
        <v>330</v>
      </c>
      <c r="Q1431" s="2" t="s">
        <v>323</v>
      </c>
      <c r="R1431">
        <v>31</v>
      </c>
      <c r="S1431" s="2">
        <v>61</v>
      </c>
      <c r="T1431" t="s">
        <v>297</v>
      </c>
      <c r="U1431" t="s">
        <v>300</v>
      </c>
      <c r="V1431" t="s">
        <v>301</v>
      </c>
      <c r="W1431" s="41"/>
      <c r="X1431" s="41"/>
      <c r="Y1431" s="34"/>
      <c r="Z1431" s="34"/>
      <c r="AA1431" s="35">
        <f>IF(TA[[#This Row],[Work Start time on Fault]]="NA","",(TA[[#This Row],[Fault Acknowledgement Time ]]-TA[[#This Row],[Fault Time]])*24)</f>
        <v>0</v>
      </c>
      <c r="AB1431" s="35">
        <f>(TA[[#This Row],[Work Start time on Fault]]-TA[[#This Row],[Fault Time]])*24</f>
        <v>0</v>
      </c>
      <c r="AC1431" s="34">
        <f>(TA[[#This Row],[Work Completion time on fault]]-TA[[#This Row],[Fault Time]])*24</f>
        <v>0</v>
      </c>
      <c r="AD1431" s="35">
        <f>IFERROR((TA[[#This Row],[Work Completion time on fault]]-TA[[#This Row],[Fault Time]])*24,"")</f>
        <v>0</v>
      </c>
      <c r="AE1431" t="s">
        <v>328</v>
      </c>
      <c r="AF1431" t="s">
        <v>256</v>
      </c>
      <c r="AG1431" s="2"/>
      <c r="AH1431" s="44">
        <f>1-COS(RADIANS(TA[[#This Row],[Avg. Target Angle during Fault Time (Radians)]]-TA[[#This Row],[Angle of affected equipment ]]))</f>
        <v>0.11705240714107301</v>
      </c>
      <c r="AI1431" s="35">
        <f>IFERROR(TA[[#This Row],[Breakdown Time]]*TA[[#This Row],[Plant Equivalent Weightage]],"")</f>
        <v>0</v>
      </c>
    </row>
    <row r="1432" spans="1:35">
      <c r="A1432" s="2">
        <f t="shared" si="165"/>
        <v>1429</v>
      </c>
      <c r="B1432" s="156">
        <f t="shared" si="170"/>
        <v>2026</v>
      </c>
      <c r="C1432" s="129">
        <f t="shared" si="171"/>
        <v>2025</v>
      </c>
      <c r="D1432" s="2" t="s">
        <v>155</v>
      </c>
      <c r="E1432" s="2" t="s">
        <v>155</v>
      </c>
      <c r="F1432" s="39">
        <v>45839</v>
      </c>
      <c r="G1432" s="2">
        <f>DAY(EOMONTH(TA[[#This Row],[Month Year]],0))</f>
        <v>31</v>
      </c>
      <c r="H1432" s="21">
        <v>45846</v>
      </c>
      <c r="I1432" s="41">
        <f>IFERROR(VLOOKUP(TA[[#This Row],[Date]],Raw_Data[[Date]:[Sunset Time (POA&lt;20 W/m2)]],3,0),"")</f>
        <v>0.25833333333333336</v>
      </c>
      <c r="J1432" s="41">
        <f>IFERROR(VLOOKUP(TA[[#This Row],[Date]],Raw_Data[[Date]:[Sunset Time (POA&lt;20 W/m2)]],4,0),"")</f>
        <v>0.77916666666666667</v>
      </c>
      <c r="K1432" s="35">
        <f>IFERROR((TA[[#This Row],[Sunset Time (POA&lt;20 W/m2)]]-TA[[#This Row],[Sunrise Time (POA&gt;20 W/m2)]])*24,"")</f>
        <v>12.499999999999998</v>
      </c>
      <c r="L1432" s="2" t="s">
        <v>312</v>
      </c>
      <c r="M1432" s="42">
        <f>IFERROR(VLOOKUP(TA[[#This Row],[Affected Equipment]],'Basic Data'!$I$2:$K$40,3,0),"")</f>
        <v>5.74712643678161E-3</v>
      </c>
      <c r="N1432">
        <v>-28</v>
      </c>
      <c r="O1432" t="s">
        <v>133</v>
      </c>
      <c r="P1432" s="22" t="s">
        <v>330</v>
      </c>
      <c r="Q1432" s="2" t="s">
        <v>323</v>
      </c>
      <c r="R1432">
        <v>26</v>
      </c>
      <c r="S1432" s="2">
        <v>37</v>
      </c>
      <c r="T1432" t="s">
        <v>297</v>
      </c>
      <c r="U1432" t="s">
        <v>300</v>
      </c>
      <c r="V1432" t="s">
        <v>301</v>
      </c>
      <c r="W1432" s="41"/>
      <c r="X1432" s="41"/>
      <c r="Y1432" s="34"/>
      <c r="Z1432" s="34"/>
      <c r="AA1432" s="35">
        <f>IF(TA[[#This Row],[Work Start time on Fault]]="NA","",(TA[[#This Row],[Fault Acknowledgement Time ]]-TA[[#This Row],[Fault Time]])*24)</f>
        <v>0</v>
      </c>
      <c r="AB1432" s="35">
        <f>(TA[[#This Row],[Work Start time on Fault]]-TA[[#This Row],[Fault Time]])*24</f>
        <v>0</v>
      </c>
      <c r="AC1432" s="34">
        <f>(TA[[#This Row],[Work Completion time on fault]]-TA[[#This Row],[Fault Time]])*24</f>
        <v>0</v>
      </c>
      <c r="AD1432" s="35">
        <f>IFERROR((TA[[#This Row],[Work Completion time on fault]]-TA[[#This Row],[Fault Time]])*24,"")</f>
        <v>0</v>
      </c>
      <c r="AE1432" t="s">
        <v>328</v>
      </c>
      <c r="AF1432" t="s">
        <v>256</v>
      </c>
      <c r="AG1432" s="2"/>
      <c r="AH1432" s="44">
        <f>1-COS(RADIANS(TA[[#This Row],[Avg. Target Angle during Fault Time (Radians)]]-TA[[#This Row],[Angle of affected equipment ]]))</f>
        <v>0.11705240714107301</v>
      </c>
      <c r="AI1432" s="35">
        <f>IFERROR(TA[[#This Row],[Breakdown Time]]*TA[[#This Row],[Plant Equivalent Weightage]],"")</f>
        <v>0</v>
      </c>
    </row>
    <row r="1433" spans="1:35">
      <c r="A1433" s="2">
        <f t="shared" si="165"/>
        <v>1430</v>
      </c>
      <c r="B1433" s="156">
        <f t="shared" si="170"/>
        <v>2026</v>
      </c>
      <c r="C1433" s="129">
        <f t="shared" si="171"/>
        <v>2025</v>
      </c>
      <c r="D1433" s="2" t="s">
        <v>155</v>
      </c>
      <c r="E1433" s="2" t="s">
        <v>155</v>
      </c>
      <c r="F1433" s="39">
        <v>45839</v>
      </c>
      <c r="G1433" s="2">
        <f>DAY(EOMONTH(TA[[#This Row],[Month Year]],0))</f>
        <v>31</v>
      </c>
      <c r="H1433" s="21">
        <v>45846</v>
      </c>
      <c r="I1433" s="41">
        <f>IFERROR(VLOOKUP(TA[[#This Row],[Date]],Raw_Data[[Date]:[Sunset Time (POA&lt;20 W/m2)]],3,0),"")</f>
        <v>0.25833333333333336</v>
      </c>
      <c r="J1433" s="41">
        <f>IFERROR(VLOOKUP(TA[[#This Row],[Date]],Raw_Data[[Date]:[Sunset Time (POA&lt;20 W/m2)]],4,0),"")</f>
        <v>0.77916666666666667</v>
      </c>
      <c r="K1433" s="35">
        <f>IFERROR((TA[[#This Row],[Sunset Time (POA&lt;20 W/m2)]]-TA[[#This Row],[Sunrise Time (POA&gt;20 W/m2)]])*24,"")</f>
        <v>12.499999999999998</v>
      </c>
      <c r="L1433" s="2" t="s">
        <v>312</v>
      </c>
      <c r="M1433" s="42">
        <f>IFERROR(VLOOKUP(TA[[#This Row],[Affected Equipment]],'Basic Data'!$I$2:$K$40,3,0),"")</f>
        <v>5.74712643678161E-3</v>
      </c>
      <c r="N1433">
        <v>-28</v>
      </c>
      <c r="O1433" t="s">
        <v>133</v>
      </c>
      <c r="P1433" s="22" t="s">
        <v>330</v>
      </c>
      <c r="Q1433" s="2" t="s">
        <v>323</v>
      </c>
      <c r="R1433">
        <v>27</v>
      </c>
      <c r="S1433" s="2">
        <v>42</v>
      </c>
      <c r="T1433" t="s">
        <v>297</v>
      </c>
      <c r="U1433" t="s">
        <v>300</v>
      </c>
      <c r="V1433" t="s">
        <v>301</v>
      </c>
      <c r="W1433" s="41">
        <f>IFERROR(VLOOKUP(TA[[#This Row],[Date]],Raw_Data[[Date]:[Sunset Time (POA&lt;20 W/m2)]],3,0),"")</f>
        <v>0.25833333333333336</v>
      </c>
      <c r="X1433" s="41">
        <f>IFERROR(VLOOKUP(TA[[#This Row],[Date]],Raw_Data[[Date]:[Sunset Time (POA&lt;20 W/m2)]],3,0),"")</f>
        <v>0.25833333333333336</v>
      </c>
      <c r="Y1433" s="34"/>
      <c r="Z1433" s="34">
        <v>0.76041666666666663</v>
      </c>
      <c r="AA1433" s="35">
        <f>IF(TA[[#This Row],[Work Start time on Fault]]="NA","",(TA[[#This Row],[Fault Acknowledgement Time ]]-TA[[#This Row],[Fault Time]])*24)</f>
        <v>0</v>
      </c>
      <c r="AB1433" s="35">
        <f>(TA[[#This Row],[Work Start time on Fault]]-TA[[#This Row],[Fault Time]])*24</f>
        <v>-6.2000000000000011</v>
      </c>
      <c r="AC1433" s="34">
        <f>(TA[[#This Row],[Work Completion time on fault]]-TA[[#This Row],[Fault Time]])*24</f>
        <v>12.049999999999997</v>
      </c>
      <c r="AD1433" s="35">
        <f>IFERROR((TA[[#This Row],[Work Completion time on fault]]-TA[[#This Row],[Fault Time]])*24,"")</f>
        <v>12.049999999999997</v>
      </c>
      <c r="AE1433" t="s">
        <v>309</v>
      </c>
      <c r="AF1433" t="s">
        <v>256</v>
      </c>
      <c r="AG1433" s="2"/>
      <c r="AH1433" s="44">
        <f>1-COS(RADIANS(TA[[#This Row],[Avg. Target Angle during Fault Time (Radians)]]-TA[[#This Row],[Angle of affected equipment ]]))</f>
        <v>0.11705240714107301</v>
      </c>
      <c r="AI1433" s="35">
        <f>IFERROR(TA[[#This Row],[Breakdown Time]]*TA[[#This Row],[Plant Equivalent Weightage]],"")</f>
        <v>6.9252873563218381E-2</v>
      </c>
    </row>
    <row r="1434" spans="1:35">
      <c r="A1434" s="2">
        <f t="shared" si="165"/>
        <v>1431</v>
      </c>
      <c r="B1434" s="156">
        <f t="shared" ref="B1434:B1446" si="172">YEAR(H1434)+IF(MONTH(H1434)&gt;=4,1,0)</f>
        <v>2026</v>
      </c>
      <c r="C1434" s="129">
        <f t="shared" ref="C1434:C1446" si="173">YEAR(H1434)</f>
        <v>2025</v>
      </c>
      <c r="D1434" s="2" t="s">
        <v>155</v>
      </c>
      <c r="E1434" s="2" t="s">
        <v>155</v>
      </c>
      <c r="F1434" s="39">
        <v>45839</v>
      </c>
      <c r="G1434" s="2">
        <f>DAY(EOMONTH(TA[[#This Row],[Month Year]],0))</f>
        <v>31</v>
      </c>
      <c r="H1434" s="21">
        <v>45847</v>
      </c>
      <c r="I1434" s="41">
        <f>IFERROR(VLOOKUP(TA[[#This Row],[Date]],Raw_Data[[Date]:[Sunset Time (POA&lt;20 W/m2)]],3,0),"")</f>
        <v>0.2590277777777778</v>
      </c>
      <c r="J1434" s="41">
        <f>IFERROR(VLOOKUP(TA[[#This Row],[Date]],Raw_Data[[Date]:[Sunset Time (POA&lt;20 W/m2)]],4,0),"")</f>
        <v>0.77222222222222225</v>
      </c>
      <c r="K1434" s="35">
        <f>IFERROR((TA[[#This Row],[Sunset Time (POA&lt;20 W/m2)]]-TA[[#This Row],[Sunrise Time (POA&gt;20 W/m2)]])*24,"")</f>
        <v>12.316666666666668</v>
      </c>
      <c r="L1434" s="2" t="s">
        <v>294</v>
      </c>
      <c r="M1434" s="42">
        <f>IFERROR(VLOOKUP(TA[[#This Row],[Affected Equipment]],'Basic Data'!$I$2:$K$40,3,0),"")</f>
        <v>1.7241379310344799E-3</v>
      </c>
      <c r="N1434">
        <v>-28</v>
      </c>
      <c r="O1434" t="s">
        <v>135</v>
      </c>
      <c r="P1434" s="127" t="s">
        <v>318</v>
      </c>
      <c r="Q1434" s="126" t="s">
        <v>318</v>
      </c>
      <c r="R1434">
        <v>131</v>
      </c>
      <c r="S1434" s="2">
        <v>38</v>
      </c>
      <c r="T1434" t="s">
        <v>295</v>
      </c>
      <c r="U1434" t="s">
        <v>300</v>
      </c>
      <c r="V1434" t="s">
        <v>298</v>
      </c>
      <c r="W1434" s="41"/>
      <c r="X1434" s="41"/>
      <c r="Y1434" s="34"/>
      <c r="Z1434" s="34"/>
      <c r="AA1434" s="35">
        <f>IF(TA[[#This Row],[Work Start time on Fault]]="NA","",(TA[[#This Row],[Fault Acknowledgement Time ]]-TA[[#This Row],[Fault Time]])*24)</f>
        <v>0</v>
      </c>
      <c r="AB1434" s="35">
        <f>(TA[[#This Row],[Work Start time on Fault]]-TA[[#This Row],[Fault Time]])*24</f>
        <v>0</v>
      </c>
      <c r="AC1434" s="34">
        <f>(TA[[#This Row],[Work Completion time on fault]]-TA[[#This Row],[Fault Time]])*24</f>
        <v>0</v>
      </c>
      <c r="AD1434" s="35">
        <f>IFERROR((TA[[#This Row],[Work Completion time on fault]]-TA[[#This Row],[Fault Time]])*24,"")</f>
        <v>0</v>
      </c>
      <c r="AE1434" t="s">
        <v>328</v>
      </c>
      <c r="AF1434" t="s">
        <v>256</v>
      </c>
      <c r="AG1434" s="2"/>
      <c r="AH1434" s="44">
        <f>1-COS(RADIANS(TA[[#This Row],[Avg. Target Angle during Fault Time (Radians)]]-TA[[#This Row],[Angle of affected equipment ]]))</f>
        <v>0.11705240714107301</v>
      </c>
      <c r="AI1434" s="35">
        <f>IFERROR(TA[[#This Row],[Breakdown Time]]*TA[[#This Row],[Plant Equivalent Weightage]],"")</f>
        <v>0</v>
      </c>
    </row>
    <row r="1435" spans="1:35">
      <c r="A1435" s="2">
        <f t="shared" si="165"/>
        <v>1432</v>
      </c>
      <c r="B1435" s="156">
        <f t="shared" si="172"/>
        <v>2026</v>
      </c>
      <c r="C1435" s="129">
        <f t="shared" si="173"/>
        <v>2025</v>
      </c>
      <c r="D1435" s="2" t="s">
        <v>155</v>
      </c>
      <c r="E1435" s="2" t="s">
        <v>155</v>
      </c>
      <c r="F1435" s="39">
        <v>45839</v>
      </c>
      <c r="G1435" s="2">
        <f>DAY(EOMONTH(TA[[#This Row],[Month Year]],0))</f>
        <v>31</v>
      </c>
      <c r="H1435" s="21">
        <v>45847</v>
      </c>
      <c r="I1435" s="41">
        <f>IFERROR(VLOOKUP(TA[[#This Row],[Date]],Raw_Data[[Date]:[Sunset Time (POA&lt;20 W/m2)]],3,0),"")</f>
        <v>0.2590277777777778</v>
      </c>
      <c r="J1435" s="41">
        <f>IFERROR(VLOOKUP(TA[[#This Row],[Date]],Raw_Data[[Date]:[Sunset Time (POA&lt;20 W/m2)]],4,0),"")</f>
        <v>0.77222222222222225</v>
      </c>
      <c r="K1435" s="35">
        <f>IFERROR((TA[[#This Row],[Sunset Time (POA&lt;20 W/m2)]]-TA[[#This Row],[Sunrise Time (POA&gt;20 W/m2)]])*24,"")</f>
        <v>12.316666666666668</v>
      </c>
      <c r="L1435" s="2" t="s">
        <v>294</v>
      </c>
      <c r="M1435" s="42">
        <f>IFERROR(VLOOKUP(TA[[#This Row],[Affected Equipment]],'Basic Data'!$I$2:$K$40,3,0),"")</f>
        <v>1.7241379310344799E-3</v>
      </c>
      <c r="N1435">
        <v>-28</v>
      </c>
      <c r="O1435" t="s">
        <v>135</v>
      </c>
      <c r="P1435" s="127" t="s">
        <v>318</v>
      </c>
      <c r="Q1435" s="126" t="s">
        <v>318</v>
      </c>
      <c r="R1435">
        <v>131</v>
      </c>
      <c r="S1435" s="2">
        <v>39</v>
      </c>
      <c r="T1435" t="s">
        <v>295</v>
      </c>
      <c r="U1435" t="s">
        <v>300</v>
      </c>
      <c r="V1435" t="s">
        <v>298</v>
      </c>
      <c r="W1435" s="41"/>
      <c r="X1435" s="41"/>
      <c r="Y1435" s="34"/>
      <c r="Z1435" s="34"/>
      <c r="AA1435" s="35">
        <f>IF(TA[[#This Row],[Work Start time on Fault]]="NA","",(TA[[#This Row],[Fault Acknowledgement Time ]]-TA[[#This Row],[Fault Time]])*24)</f>
        <v>0</v>
      </c>
      <c r="AB1435" s="35">
        <f>(TA[[#This Row],[Work Start time on Fault]]-TA[[#This Row],[Fault Time]])*24</f>
        <v>0</v>
      </c>
      <c r="AC1435" s="34">
        <f>(TA[[#This Row],[Work Completion time on fault]]-TA[[#This Row],[Fault Time]])*24</f>
        <v>0</v>
      </c>
      <c r="AD1435" s="35">
        <f>IFERROR((TA[[#This Row],[Work Completion time on fault]]-TA[[#This Row],[Fault Time]])*24,"")</f>
        <v>0</v>
      </c>
      <c r="AE1435" t="s">
        <v>328</v>
      </c>
      <c r="AF1435" t="s">
        <v>256</v>
      </c>
      <c r="AG1435" s="2"/>
      <c r="AH1435" s="44">
        <f>1-COS(RADIANS(TA[[#This Row],[Avg. Target Angle during Fault Time (Radians)]]-TA[[#This Row],[Angle of affected equipment ]]))</f>
        <v>0.11705240714107301</v>
      </c>
      <c r="AI1435" s="35">
        <f>IFERROR(TA[[#This Row],[Breakdown Time]]*TA[[#This Row],[Plant Equivalent Weightage]],"")</f>
        <v>0</v>
      </c>
    </row>
    <row r="1436" spans="1:35">
      <c r="A1436" s="2">
        <f t="shared" si="165"/>
        <v>1433</v>
      </c>
      <c r="B1436" s="156">
        <f t="shared" si="172"/>
        <v>2026</v>
      </c>
      <c r="C1436" s="129">
        <f t="shared" si="173"/>
        <v>2025</v>
      </c>
      <c r="D1436" s="2" t="s">
        <v>155</v>
      </c>
      <c r="E1436" s="2" t="s">
        <v>155</v>
      </c>
      <c r="F1436" s="39">
        <v>45839</v>
      </c>
      <c r="G1436" s="2">
        <f>DAY(EOMONTH(TA[[#This Row],[Month Year]],0))</f>
        <v>31</v>
      </c>
      <c r="H1436" s="21">
        <v>45847</v>
      </c>
      <c r="I1436" s="41">
        <f>IFERROR(VLOOKUP(TA[[#This Row],[Date]],Raw_Data[[Date]:[Sunset Time (POA&lt;20 W/m2)]],3,0),"")</f>
        <v>0.2590277777777778</v>
      </c>
      <c r="J1436" s="41">
        <f>IFERROR(VLOOKUP(TA[[#This Row],[Date]],Raw_Data[[Date]:[Sunset Time (POA&lt;20 W/m2)]],4,0),"")</f>
        <v>0.77222222222222225</v>
      </c>
      <c r="K1436" s="35">
        <f>IFERROR((TA[[#This Row],[Sunset Time (POA&lt;20 W/m2)]]-TA[[#This Row],[Sunrise Time (POA&gt;20 W/m2)]])*24,"")</f>
        <v>12.316666666666668</v>
      </c>
      <c r="L1436" s="2" t="s">
        <v>296</v>
      </c>
      <c r="M1436" s="42">
        <f>IFERROR(VLOOKUP(TA[[#This Row],[Affected Equipment]],'Basic Data'!$I$2:$K$40,3,0),"")</f>
        <v>8.6206896551724102E-3</v>
      </c>
      <c r="N1436">
        <v>-28</v>
      </c>
      <c r="O1436" t="s">
        <v>135</v>
      </c>
      <c r="P1436" s="127" t="s">
        <v>318</v>
      </c>
      <c r="Q1436" s="2" t="s">
        <v>321</v>
      </c>
      <c r="R1436">
        <v>133</v>
      </c>
      <c r="S1436" s="2">
        <v>26</v>
      </c>
      <c r="T1436" t="s">
        <v>297</v>
      </c>
      <c r="U1436" t="s">
        <v>300</v>
      </c>
      <c r="V1436" t="s">
        <v>314</v>
      </c>
      <c r="W1436" s="41">
        <f>IFERROR(VLOOKUP(TA[[#This Row],[Date]],Raw_Data[[Date]:[Sunset Time (POA&lt;20 W/m2)]],3,0),"")</f>
        <v>0.2590277777777778</v>
      </c>
      <c r="X1436" s="41">
        <f>IFERROR(VLOOKUP(TA[[#This Row],[Date]],Raw_Data[[Date]:[Sunset Time (POA&lt;20 W/m2)]],3,0),"")</f>
        <v>0.2590277777777778</v>
      </c>
      <c r="Y1436" s="34"/>
      <c r="Z1436" s="34">
        <v>0.76041666666666663</v>
      </c>
      <c r="AA1436" s="35">
        <f>IF(TA[[#This Row],[Work Start time on Fault]]="NA","",(TA[[#This Row],[Fault Acknowledgement Time ]]-TA[[#This Row],[Fault Time]])*24)</f>
        <v>0</v>
      </c>
      <c r="AB1436" s="35">
        <f>(TA[[#This Row],[Work Start time on Fault]]-TA[[#This Row],[Fault Time]])*24</f>
        <v>-6.2166666666666668</v>
      </c>
      <c r="AC1436" s="34">
        <f>(TA[[#This Row],[Work Completion time on fault]]-TA[[#This Row],[Fault Time]])*24</f>
        <v>12.033333333333333</v>
      </c>
      <c r="AD1436" s="35">
        <f>IFERROR((TA[[#This Row],[Work Completion time on fault]]-TA[[#This Row],[Fault Time]])*24,"")</f>
        <v>12.033333333333333</v>
      </c>
      <c r="AE1436" t="s">
        <v>328</v>
      </c>
      <c r="AF1436" t="s">
        <v>256</v>
      </c>
      <c r="AG1436" s="2"/>
      <c r="AH1436" s="44">
        <f>1-COS(RADIANS(TA[[#This Row],[Avg. Target Angle during Fault Time (Radians)]]-TA[[#This Row],[Angle of affected equipment ]]))</f>
        <v>0.11705240714107301</v>
      </c>
      <c r="AI1436" s="35">
        <f>IFERROR(TA[[#This Row],[Breakdown Time]]*TA[[#This Row],[Plant Equivalent Weightage]],"")</f>
        <v>0.10373563218390801</v>
      </c>
    </row>
    <row r="1437" spans="1:35">
      <c r="A1437" s="2">
        <f t="shared" si="165"/>
        <v>1434</v>
      </c>
      <c r="B1437" s="156">
        <f t="shared" si="172"/>
        <v>2026</v>
      </c>
      <c r="C1437" s="129">
        <f t="shared" si="173"/>
        <v>2025</v>
      </c>
      <c r="D1437" s="2" t="s">
        <v>155</v>
      </c>
      <c r="E1437" s="2" t="s">
        <v>155</v>
      </c>
      <c r="F1437" s="39">
        <v>45839</v>
      </c>
      <c r="G1437" s="2">
        <f>DAY(EOMONTH(TA[[#This Row],[Month Year]],0))</f>
        <v>31</v>
      </c>
      <c r="H1437" s="21">
        <v>45847</v>
      </c>
      <c r="I1437" s="41">
        <f>IFERROR(VLOOKUP(TA[[#This Row],[Date]],Raw_Data[[Date]:[Sunset Time (POA&lt;20 W/m2)]],3,0),"")</f>
        <v>0.2590277777777778</v>
      </c>
      <c r="J1437" s="41">
        <f>IFERROR(VLOOKUP(TA[[#This Row],[Date]],Raw_Data[[Date]:[Sunset Time (POA&lt;20 W/m2)]],4,0),"")</f>
        <v>0.77222222222222225</v>
      </c>
      <c r="K1437" s="35">
        <f>IFERROR((TA[[#This Row],[Sunset Time (POA&lt;20 W/m2)]]-TA[[#This Row],[Sunrise Time (POA&gt;20 W/m2)]])*24,"")</f>
        <v>12.316666666666668</v>
      </c>
      <c r="L1437" s="2" t="s">
        <v>294</v>
      </c>
      <c r="M1437" s="42">
        <f>IFERROR(VLOOKUP(TA[[#This Row],[Affected Equipment]],'Basic Data'!$I$2:$K$40,3,0),"")</f>
        <v>1.7241379310344799E-3</v>
      </c>
      <c r="N1437">
        <v>-28</v>
      </c>
      <c r="O1437" t="s">
        <v>133</v>
      </c>
      <c r="P1437" s="127" t="s">
        <v>316</v>
      </c>
      <c r="Q1437" s="126" t="s">
        <v>317</v>
      </c>
      <c r="R1437">
        <v>7</v>
      </c>
      <c r="S1437" s="2">
        <v>32</v>
      </c>
      <c r="T1437" t="s">
        <v>295</v>
      </c>
      <c r="U1437" t="s">
        <v>300</v>
      </c>
      <c r="V1437" t="s">
        <v>298</v>
      </c>
      <c r="W1437" s="41"/>
      <c r="X1437" s="41"/>
      <c r="Y1437" s="34"/>
      <c r="Z1437" s="34"/>
      <c r="AA1437" s="35">
        <f>IF(TA[[#This Row],[Work Start time on Fault]]="NA","",(TA[[#This Row],[Fault Acknowledgement Time ]]-TA[[#This Row],[Fault Time]])*24)</f>
        <v>0</v>
      </c>
      <c r="AB1437" s="35">
        <f>(TA[[#This Row],[Work Start time on Fault]]-TA[[#This Row],[Fault Time]])*24</f>
        <v>0</v>
      </c>
      <c r="AC1437" s="34">
        <f>(TA[[#This Row],[Work Completion time on fault]]-TA[[#This Row],[Fault Time]])*24</f>
        <v>0</v>
      </c>
      <c r="AD1437" s="35">
        <f>IFERROR((TA[[#This Row],[Work Completion time on fault]]-TA[[#This Row],[Fault Time]])*24,"")</f>
        <v>0</v>
      </c>
      <c r="AE1437" t="s">
        <v>328</v>
      </c>
      <c r="AF1437" t="s">
        <v>256</v>
      </c>
      <c r="AG1437" s="2"/>
      <c r="AH1437" s="44">
        <f>1-COS(RADIANS(TA[[#This Row],[Avg. Target Angle during Fault Time (Radians)]]-TA[[#This Row],[Angle of affected equipment ]]))</f>
        <v>0.11705240714107301</v>
      </c>
      <c r="AI1437" s="35">
        <f>IFERROR(TA[[#This Row],[Breakdown Time]]*TA[[#This Row],[Plant Equivalent Weightage]],"")</f>
        <v>0</v>
      </c>
    </row>
    <row r="1438" spans="1:35">
      <c r="A1438" s="2">
        <f t="shared" si="165"/>
        <v>1435</v>
      </c>
      <c r="B1438" s="156">
        <f t="shared" si="172"/>
        <v>2026</v>
      </c>
      <c r="C1438" s="129">
        <f t="shared" si="173"/>
        <v>2025</v>
      </c>
      <c r="D1438" s="2" t="s">
        <v>155</v>
      </c>
      <c r="E1438" s="2" t="s">
        <v>155</v>
      </c>
      <c r="F1438" s="39">
        <v>45839</v>
      </c>
      <c r="G1438" s="2">
        <f>DAY(EOMONTH(TA[[#This Row],[Month Year]],0))</f>
        <v>31</v>
      </c>
      <c r="H1438" s="21">
        <v>45847</v>
      </c>
      <c r="I1438" s="41">
        <f>IFERROR(VLOOKUP(TA[[#This Row],[Date]],Raw_Data[[Date]:[Sunset Time (POA&lt;20 W/m2)]],3,0),"")</f>
        <v>0.2590277777777778</v>
      </c>
      <c r="J1438" s="41">
        <f>IFERROR(VLOOKUP(TA[[#This Row],[Date]],Raw_Data[[Date]:[Sunset Time (POA&lt;20 W/m2)]],4,0),"")</f>
        <v>0.77222222222222225</v>
      </c>
      <c r="K1438" s="35">
        <f>IFERROR((TA[[#This Row],[Sunset Time (POA&lt;20 W/m2)]]-TA[[#This Row],[Sunrise Time (POA&gt;20 W/m2)]])*24,"")</f>
        <v>12.316666666666668</v>
      </c>
      <c r="L1438" s="2" t="s">
        <v>294</v>
      </c>
      <c r="M1438" s="42">
        <f>IFERROR(VLOOKUP(TA[[#This Row],[Affected Equipment]],'Basic Data'!$I$2:$K$40,3,0),"")</f>
        <v>1.7241379310344799E-3</v>
      </c>
      <c r="N1438">
        <v>-28</v>
      </c>
      <c r="O1438" t="s">
        <v>137</v>
      </c>
      <c r="P1438" s="127" t="s">
        <v>315</v>
      </c>
      <c r="Q1438" s="126" t="s">
        <v>319</v>
      </c>
      <c r="R1438">
        <v>166</v>
      </c>
      <c r="S1438" s="2">
        <v>91</v>
      </c>
      <c r="T1438" t="s">
        <v>295</v>
      </c>
      <c r="U1438" t="s">
        <v>300</v>
      </c>
      <c r="V1438" t="s">
        <v>298</v>
      </c>
      <c r="W1438" s="41"/>
      <c r="X1438" s="41"/>
      <c r="Y1438" s="34"/>
      <c r="Z1438" s="34"/>
      <c r="AA1438" s="35">
        <f>IF(TA[[#This Row],[Work Start time on Fault]]="NA","",(TA[[#This Row],[Fault Acknowledgement Time ]]-TA[[#This Row],[Fault Time]])*24)</f>
        <v>0</v>
      </c>
      <c r="AB1438" s="35">
        <f>(TA[[#This Row],[Work Start time on Fault]]-TA[[#This Row],[Fault Time]])*24</f>
        <v>0</v>
      </c>
      <c r="AC1438" s="34">
        <f>(TA[[#This Row],[Work Completion time on fault]]-TA[[#This Row],[Fault Time]])*24</f>
        <v>0</v>
      </c>
      <c r="AD1438" s="35">
        <f>IFERROR((TA[[#This Row],[Work Completion time on fault]]-TA[[#This Row],[Fault Time]])*24,"")</f>
        <v>0</v>
      </c>
      <c r="AE1438" t="s">
        <v>328</v>
      </c>
      <c r="AF1438" t="s">
        <v>256</v>
      </c>
      <c r="AG1438" s="2"/>
      <c r="AH1438" s="44">
        <f>1-COS(RADIANS(TA[[#This Row],[Avg. Target Angle during Fault Time (Radians)]]-TA[[#This Row],[Angle of affected equipment ]]))</f>
        <v>0.11705240714107301</v>
      </c>
      <c r="AI1438" s="35">
        <f>IFERROR(TA[[#This Row],[Breakdown Time]]*TA[[#This Row],[Plant Equivalent Weightage]],"")</f>
        <v>0</v>
      </c>
    </row>
    <row r="1439" spans="1:35">
      <c r="A1439" s="2">
        <f t="shared" si="165"/>
        <v>1436</v>
      </c>
      <c r="B1439" s="156">
        <f t="shared" si="172"/>
        <v>2026</v>
      </c>
      <c r="C1439" s="129">
        <f t="shared" si="173"/>
        <v>2025</v>
      </c>
      <c r="D1439" s="2" t="s">
        <v>155</v>
      </c>
      <c r="E1439" s="2" t="s">
        <v>155</v>
      </c>
      <c r="F1439" s="39">
        <v>45839</v>
      </c>
      <c r="G1439" s="2">
        <f>DAY(EOMONTH(TA[[#This Row],[Month Year]],0))</f>
        <v>31</v>
      </c>
      <c r="H1439" s="21">
        <v>45847</v>
      </c>
      <c r="I1439" s="41">
        <f>IFERROR(VLOOKUP(TA[[#This Row],[Date]],Raw_Data[[Date]:[Sunset Time (POA&lt;20 W/m2)]],3,0),"")</f>
        <v>0.2590277777777778</v>
      </c>
      <c r="J1439" s="41">
        <f>IFERROR(VLOOKUP(TA[[#This Row],[Date]],Raw_Data[[Date]:[Sunset Time (POA&lt;20 W/m2)]],4,0),"")</f>
        <v>0.77222222222222225</v>
      </c>
      <c r="K1439" s="35">
        <f>IFERROR((TA[[#This Row],[Sunset Time (POA&lt;20 W/m2)]]-TA[[#This Row],[Sunrise Time (POA&gt;20 W/m2)]])*24,"")</f>
        <v>12.316666666666668</v>
      </c>
      <c r="L1439" s="2" t="s">
        <v>294</v>
      </c>
      <c r="M1439" s="42">
        <f>IFERROR(VLOOKUP(TA[[#This Row],[Affected Equipment]],'Basic Data'!$I$2:$K$40,3,0),"")</f>
        <v>1.7241379310344799E-3</v>
      </c>
      <c r="N1439">
        <v>-28</v>
      </c>
      <c r="O1439" t="s">
        <v>133</v>
      </c>
      <c r="P1439" s="127" t="s">
        <v>316</v>
      </c>
      <c r="Q1439" s="126" t="s">
        <v>316</v>
      </c>
      <c r="R1439">
        <v>117</v>
      </c>
      <c r="S1439" s="2">
        <v>20</v>
      </c>
      <c r="T1439" t="s">
        <v>295</v>
      </c>
      <c r="U1439" t="s">
        <v>300</v>
      </c>
      <c r="V1439" t="s">
        <v>298</v>
      </c>
      <c r="W1439" s="41"/>
      <c r="X1439" s="41"/>
      <c r="Y1439" s="34"/>
      <c r="Z1439" s="34"/>
      <c r="AA1439" s="35">
        <f>IF(TA[[#This Row],[Work Start time on Fault]]="NA","",(TA[[#This Row],[Fault Acknowledgement Time ]]-TA[[#This Row],[Fault Time]])*24)</f>
        <v>0</v>
      </c>
      <c r="AB1439" s="35">
        <f>(TA[[#This Row],[Work Start time on Fault]]-TA[[#This Row],[Fault Time]])*24</f>
        <v>0</v>
      </c>
      <c r="AC1439" s="34">
        <f>(TA[[#This Row],[Work Completion time on fault]]-TA[[#This Row],[Fault Time]])*24</f>
        <v>0</v>
      </c>
      <c r="AD1439" s="35">
        <f>IFERROR((TA[[#This Row],[Work Completion time on fault]]-TA[[#This Row],[Fault Time]])*24,"")</f>
        <v>0</v>
      </c>
      <c r="AE1439" t="s">
        <v>328</v>
      </c>
      <c r="AF1439" t="s">
        <v>256</v>
      </c>
      <c r="AG1439" s="2"/>
      <c r="AH1439" s="44">
        <f>1-COS(RADIANS(TA[[#This Row],[Avg. Target Angle during Fault Time (Radians)]]-TA[[#This Row],[Angle of affected equipment ]]))</f>
        <v>0.11705240714107301</v>
      </c>
      <c r="AI1439" s="35">
        <f>IFERROR(TA[[#This Row],[Breakdown Time]]*TA[[#This Row],[Plant Equivalent Weightage]],"")</f>
        <v>0</v>
      </c>
    </row>
    <row r="1440" spans="1:35">
      <c r="A1440" s="2">
        <f t="shared" si="165"/>
        <v>1437</v>
      </c>
      <c r="B1440" s="156">
        <f t="shared" si="172"/>
        <v>2026</v>
      </c>
      <c r="C1440" s="129">
        <f t="shared" si="173"/>
        <v>2025</v>
      </c>
      <c r="D1440" s="2" t="s">
        <v>155</v>
      </c>
      <c r="E1440" s="2" t="s">
        <v>155</v>
      </c>
      <c r="F1440" s="39">
        <v>45839</v>
      </c>
      <c r="G1440" s="2">
        <f>DAY(EOMONTH(TA[[#This Row],[Month Year]],0))</f>
        <v>31</v>
      </c>
      <c r="H1440" s="21">
        <v>45847</v>
      </c>
      <c r="I1440" s="41">
        <f>IFERROR(VLOOKUP(TA[[#This Row],[Date]],Raw_Data[[Date]:[Sunset Time (POA&lt;20 W/m2)]],3,0),"")</f>
        <v>0.2590277777777778</v>
      </c>
      <c r="J1440" s="41">
        <f>IFERROR(VLOOKUP(TA[[#This Row],[Date]],Raw_Data[[Date]:[Sunset Time (POA&lt;20 W/m2)]],4,0),"")</f>
        <v>0.77222222222222225</v>
      </c>
      <c r="K1440" s="35">
        <f>IFERROR((TA[[#This Row],[Sunset Time (POA&lt;20 W/m2)]]-TA[[#This Row],[Sunrise Time (POA&gt;20 W/m2)]])*24,"")</f>
        <v>12.316666666666668</v>
      </c>
      <c r="L1440" s="2" t="s">
        <v>294</v>
      </c>
      <c r="M1440" s="42">
        <f>IFERROR(VLOOKUP(TA[[#This Row],[Affected Equipment]],'Basic Data'!$I$2:$K$40,3,0),"")</f>
        <v>1.7241379310344799E-3</v>
      </c>
      <c r="N1440">
        <v>-28</v>
      </c>
      <c r="O1440" t="s">
        <v>133</v>
      </c>
      <c r="P1440" s="127" t="s">
        <v>316</v>
      </c>
      <c r="Q1440" s="126" t="s">
        <v>316</v>
      </c>
      <c r="R1440">
        <v>118</v>
      </c>
      <c r="S1440" s="2">
        <v>22</v>
      </c>
      <c r="T1440" t="s">
        <v>295</v>
      </c>
      <c r="U1440" t="s">
        <v>300</v>
      </c>
      <c r="V1440" t="s">
        <v>298</v>
      </c>
      <c r="W1440" s="41"/>
      <c r="X1440" s="41"/>
      <c r="Y1440" s="34"/>
      <c r="Z1440" s="34"/>
      <c r="AA1440" s="35">
        <f>IF(TA[[#This Row],[Work Start time on Fault]]="NA","",(TA[[#This Row],[Fault Acknowledgement Time ]]-TA[[#This Row],[Fault Time]])*24)</f>
        <v>0</v>
      </c>
      <c r="AB1440" s="35">
        <f>(TA[[#This Row],[Work Start time on Fault]]-TA[[#This Row],[Fault Time]])*24</f>
        <v>0</v>
      </c>
      <c r="AC1440" s="34">
        <f>(TA[[#This Row],[Work Completion time on fault]]-TA[[#This Row],[Fault Time]])*24</f>
        <v>0</v>
      </c>
      <c r="AD1440" s="35">
        <f>IFERROR((TA[[#This Row],[Work Completion time on fault]]-TA[[#This Row],[Fault Time]])*24,"")</f>
        <v>0</v>
      </c>
      <c r="AE1440" t="s">
        <v>328</v>
      </c>
      <c r="AF1440" t="s">
        <v>256</v>
      </c>
      <c r="AG1440" s="2"/>
      <c r="AH1440" s="44">
        <f>1-COS(RADIANS(TA[[#This Row],[Avg. Target Angle during Fault Time (Radians)]]-TA[[#This Row],[Angle of affected equipment ]]))</f>
        <v>0.11705240714107301</v>
      </c>
      <c r="AI1440" s="35">
        <f>IFERROR(TA[[#This Row],[Breakdown Time]]*TA[[#This Row],[Plant Equivalent Weightage]],"")</f>
        <v>0</v>
      </c>
    </row>
    <row r="1441" spans="1:35">
      <c r="A1441" s="2">
        <f t="shared" si="165"/>
        <v>1438</v>
      </c>
      <c r="B1441" s="156">
        <f t="shared" si="172"/>
        <v>2026</v>
      </c>
      <c r="C1441" s="129">
        <f t="shared" si="173"/>
        <v>2025</v>
      </c>
      <c r="D1441" s="2" t="s">
        <v>155</v>
      </c>
      <c r="E1441" s="2" t="s">
        <v>155</v>
      </c>
      <c r="F1441" s="39">
        <v>45839</v>
      </c>
      <c r="G1441" s="2">
        <f>DAY(EOMONTH(TA[[#This Row],[Month Year]],0))</f>
        <v>31</v>
      </c>
      <c r="H1441" s="21">
        <v>45847</v>
      </c>
      <c r="I1441" s="41">
        <f>IFERROR(VLOOKUP(TA[[#This Row],[Date]],Raw_Data[[Date]:[Sunset Time (POA&lt;20 W/m2)]],3,0),"")</f>
        <v>0.2590277777777778</v>
      </c>
      <c r="J1441" s="41">
        <f>IFERROR(VLOOKUP(TA[[#This Row],[Date]],Raw_Data[[Date]:[Sunset Time (POA&lt;20 W/m2)]],4,0),"")</f>
        <v>0.77222222222222225</v>
      </c>
      <c r="K1441" s="35">
        <f>IFERROR((TA[[#This Row],[Sunset Time (POA&lt;20 W/m2)]]-TA[[#This Row],[Sunrise Time (POA&gt;20 W/m2)]])*24,"")</f>
        <v>12.316666666666668</v>
      </c>
      <c r="L1441" s="2" t="s">
        <v>296</v>
      </c>
      <c r="M1441" s="42">
        <f>IFERROR(VLOOKUP(TA[[#This Row],[Affected Equipment]],'Basic Data'!$I$2:$K$40,3,0),"")</f>
        <v>8.6206896551724102E-3</v>
      </c>
      <c r="N1441">
        <v>-28</v>
      </c>
      <c r="O1441" t="s">
        <v>135</v>
      </c>
      <c r="P1441" s="22" t="s">
        <v>323</v>
      </c>
      <c r="Q1441" s="2" t="s">
        <v>329</v>
      </c>
      <c r="R1441">
        <v>45</v>
      </c>
      <c r="S1441" s="2">
        <v>8</v>
      </c>
      <c r="T1441" t="s">
        <v>297</v>
      </c>
      <c r="U1441" t="s">
        <v>300</v>
      </c>
      <c r="V1441" t="s">
        <v>301</v>
      </c>
      <c r="W1441" s="41"/>
      <c r="X1441" s="41"/>
      <c r="Y1441" s="34"/>
      <c r="Z1441" s="34"/>
      <c r="AA1441" s="35">
        <f>IF(TA[[#This Row],[Work Start time on Fault]]="NA","",(TA[[#This Row],[Fault Acknowledgement Time ]]-TA[[#This Row],[Fault Time]])*24)</f>
        <v>0</v>
      </c>
      <c r="AB1441" s="35">
        <f>(TA[[#This Row],[Work Start time on Fault]]-TA[[#This Row],[Fault Time]])*24</f>
        <v>0</v>
      </c>
      <c r="AC1441" s="34">
        <f>(TA[[#This Row],[Work Completion time on fault]]-TA[[#This Row],[Fault Time]])*24</f>
        <v>0</v>
      </c>
      <c r="AD1441" s="35">
        <f>IFERROR((TA[[#This Row],[Work Completion time on fault]]-TA[[#This Row],[Fault Time]])*24,"")</f>
        <v>0</v>
      </c>
      <c r="AE1441" t="s">
        <v>328</v>
      </c>
      <c r="AF1441" t="s">
        <v>256</v>
      </c>
      <c r="AG1441" s="2"/>
      <c r="AH1441" s="44">
        <f>1-COS(RADIANS(TA[[#This Row],[Avg. Target Angle during Fault Time (Radians)]]-TA[[#This Row],[Angle of affected equipment ]]))</f>
        <v>0.11705240714107301</v>
      </c>
      <c r="AI1441" s="35">
        <f>IFERROR(TA[[#This Row],[Breakdown Time]]*TA[[#This Row],[Plant Equivalent Weightage]],"")</f>
        <v>0</v>
      </c>
    </row>
    <row r="1442" spans="1:35">
      <c r="A1442" s="2">
        <f t="shared" si="165"/>
        <v>1439</v>
      </c>
      <c r="B1442" s="156">
        <f t="shared" si="172"/>
        <v>2026</v>
      </c>
      <c r="C1442" s="129">
        <f t="shared" si="173"/>
        <v>2025</v>
      </c>
      <c r="D1442" s="2" t="s">
        <v>155</v>
      </c>
      <c r="E1442" s="2" t="s">
        <v>155</v>
      </c>
      <c r="F1442" s="39">
        <v>45839</v>
      </c>
      <c r="G1442" s="2">
        <f>DAY(EOMONTH(TA[[#This Row],[Month Year]],0))</f>
        <v>31</v>
      </c>
      <c r="H1442" s="21">
        <v>45847</v>
      </c>
      <c r="I1442" s="41">
        <f>IFERROR(VLOOKUP(TA[[#This Row],[Date]],Raw_Data[[Date]:[Sunset Time (POA&lt;20 W/m2)]],3,0),"")</f>
        <v>0.2590277777777778</v>
      </c>
      <c r="J1442" s="41">
        <f>IFERROR(VLOOKUP(TA[[#This Row],[Date]],Raw_Data[[Date]:[Sunset Time (POA&lt;20 W/m2)]],4,0),"")</f>
        <v>0.77222222222222225</v>
      </c>
      <c r="K1442" s="35">
        <f>IFERROR((TA[[#This Row],[Sunset Time (POA&lt;20 W/m2)]]-TA[[#This Row],[Sunrise Time (POA&gt;20 W/m2)]])*24,"")</f>
        <v>12.316666666666668</v>
      </c>
      <c r="L1442" s="2" t="s">
        <v>296</v>
      </c>
      <c r="M1442" s="42">
        <f>IFERROR(VLOOKUP(TA[[#This Row],[Affected Equipment]],'Basic Data'!$I$2:$K$40,3,0),"")</f>
        <v>8.6206896551724102E-3</v>
      </c>
      <c r="N1442">
        <v>-28</v>
      </c>
      <c r="O1442" t="s">
        <v>135</v>
      </c>
      <c r="P1442" s="22" t="s">
        <v>323</v>
      </c>
      <c r="Q1442" s="2" t="s">
        <v>329</v>
      </c>
      <c r="R1442">
        <v>47</v>
      </c>
      <c r="S1442" s="2">
        <v>18</v>
      </c>
      <c r="T1442" t="s">
        <v>297</v>
      </c>
      <c r="U1442" t="s">
        <v>300</v>
      </c>
      <c r="V1442" t="s">
        <v>301</v>
      </c>
      <c r="W1442" s="41"/>
      <c r="X1442" s="41"/>
      <c r="Y1442" s="34"/>
      <c r="Z1442" s="34"/>
      <c r="AA1442" s="35">
        <f>IF(TA[[#This Row],[Work Start time on Fault]]="NA","",(TA[[#This Row],[Fault Acknowledgement Time ]]-TA[[#This Row],[Fault Time]])*24)</f>
        <v>0</v>
      </c>
      <c r="AB1442" s="35">
        <f>(TA[[#This Row],[Work Start time on Fault]]-TA[[#This Row],[Fault Time]])*24</f>
        <v>0</v>
      </c>
      <c r="AC1442" s="34">
        <f>(TA[[#This Row],[Work Completion time on fault]]-TA[[#This Row],[Fault Time]])*24</f>
        <v>0</v>
      </c>
      <c r="AD1442" s="35">
        <f>IFERROR((TA[[#This Row],[Work Completion time on fault]]-TA[[#This Row],[Fault Time]])*24,"")</f>
        <v>0</v>
      </c>
      <c r="AE1442" t="s">
        <v>328</v>
      </c>
      <c r="AF1442" t="s">
        <v>256</v>
      </c>
      <c r="AG1442" s="2"/>
      <c r="AH1442" s="44">
        <f>1-COS(RADIANS(TA[[#This Row],[Avg. Target Angle during Fault Time (Radians)]]-TA[[#This Row],[Angle of affected equipment ]]))</f>
        <v>0.11705240714107301</v>
      </c>
      <c r="AI1442" s="35">
        <f>IFERROR(TA[[#This Row],[Breakdown Time]]*TA[[#This Row],[Plant Equivalent Weightage]],"")</f>
        <v>0</v>
      </c>
    </row>
    <row r="1443" spans="1:35">
      <c r="A1443" s="2">
        <f t="shared" si="165"/>
        <v>1440</v>
      </c>
      <c r="B1443" s="156">
        <f t="shared" si="172"/>
        <v>2026</v>
      </c>
      <c r="C1443" s="129">
        <f t="shared" si="173"/>
        <v>2025</v>
      </c>
      <c r="D1443" s="2" t="s">
        <v>155</v>
      </c>
      <c r="E1443" s="2" t="s">
        <v>155</v>
      </c>
      <c r="F1443" s="39">
        <v>45839</v>
      </c>
      <c r="G1443" s="2">
        <f>DAY(EOMONTH(TA[[#This Row],[Month Year]],0))</f>
        <v>31</v>
      </c>
      <c r="H1443" s="21">
        <v>45847</v>
      </c>
      <c r="I1443" s="41">
        <f>IFERROR(VLOOKUP(TA[[#This Row],[Date]],Raw_Data[[Date]:[Sunset Time (POA&lt;20 W/m2)]],3,0),"")</f>
        <v>0.2590277777777778</v>
      </c>
      <c r="J1443" s="41">
        <f>IFERROR(VLOOKUP(TA[[#This Row],[Date]],Raw_Data[[Date]:[Sunset Time (POA&lt;20 W/m2)]],4,0),"")</f>
        <v>0.77222222222222225</v>
      </c>
      <c r="K1443" s="35">
        <f>IFERROR((TA[[#This Row],[Sunset Time (POA&lt;20 W/m2)]]-TA[[#This Row],[Sunrise Time (POA&gt;20 W/m2)]])*24,"")</f>
        <v>12.316666666666668</v>
      </c>
      <c r="L1443" s="2" t="s">
        <v>296</v>
      </c>
      <c r="M1443" s="42">
        <f>IFERROR(VLOOKUP(TA[[#This Row],[Affected Equipment]],'Basic Data'!$I$2:$K$40,3,0),"")</f>
        <v>8.6206896551724102E-3</v>
      </c>
      <c r="N1443">
        <v>-28</v>
      </c>
      <c r="O1443" t="s">
        <v>134</v>
      </c>
      <c r="P1443" s="22" t="s">
        <v>330</v>
      </c>
      <c r="Q1443" s="2" t="s">
        <v>323</v>
      </c>
      <c r="R1443">
        <v>30</v>
      </c>
      <c r="S1443" s="2">
        <v>57</v>
      </c>
      <c r="T1443" t="s">
        <v>297</v>
      </c>
      <c r="U1443" t="s">
        <v>300</v>
      </c>
      <c r="V1443" t="s">
        <v>301</v>
      </c>
      <c r="W1443" s="41"/>
      <c r="X1443" s="41"/>
      <c r="Y1443" s="34"/>
      <c r="Z1443" s="34"/>
      <c r="AA1443" s="35">
        <f>IF(TA[[#This Row],[Work Start time on Fault]]="NA","",(TA[[#This Row],[Fault Acknowledgement Time ]]-TA[[#This Row],[Fault Time]])*24)</f>
        <v>0</v>
      </c>
      <c r="AB1443" s="35">
        <f>(TA[[#This Row],[Work Start time on Fault]]-TA[[#This Row],[Fault Time]])*24</f>
        <v>0</v>
      </c>
      <c r="AC1443" s="34">
        <f>(TA[[#This Row],[Work Completion time on fault]]-TA[[#This Row],[Fault Time]])*24</f>
        <v>0</v>
      </c>
      <c r="AD1443" s="35">
        <f>IFERROR((TA[[#This Row],[Work Completion time on fault]]-TA[[#This Row],[Fault Time]])*24,"")</f>
        <v>0</v>
      </c>
      <c r="AE1443" t="s">
        <v>328</v>
      </c>
      <c r="AF1443" t="s">
        <v>256</v>
      </c>
      <c r="AG1443" s="2"/>
      <c r="AH1443" s="44">
        <f>1-COS(RADIANS(TA[[#This Row],[Avg. Target Angle during Fault Time (Radians)]]-TA[[#This Row],[Angle of affected equipment ]]))</f>
        <v>0.11705240714107301</v>
      </c>
      <c r="AI1443" s="35">
        <f>IFERROR(TA[[#This Row],[Breakdown Time]]*TA[[#This Row],[Plant Equivalent Weightage]],"")</f>
        <v>0</v>
      </c>
    </row>
    <row r="1444" spans="1:35">
      <c r="A1444" s="2">
        <f t="shared" si="165"/>
        <v>1441</v>
      </c>
      <c r="B1444" s="156">
        <f t="shared" si="172"/>
        <v>2026</v>
      </c>
      <c r="C1444" s="129">
        <f t="shared" si="173"/>
        <v>2025</v>
      </c>
      <c r="D1444" s="2" t="s">
        <v>155</v>
      </c>
      <c r="E1444" s="2" t="s">
        <v>155</v>
      </c>
      <c r="F1444" s="39">
        <v>45839</v>
      </c>
      <c r="G1444" s="2">
        <f>DAY(EOMONTH(TA[[#This Row],[Month Year]],0))</f>
        <v>31</v>
      </c>
      <c r="H1444" s="21">
        <v>45847</v>
      </c>
      <c r="I1444" s="41">
        <f>IFERROR(VLOOKUP(TA[[#This Row],[Date]],Raw_Data[[Date]:[Sunset Time (POA&lt;20 W/m2)]],3,0),"")</f>
        <v>0.2590277777777778</v>
      </c>
      <c r="J1444" s="41">
        <f>IFERROR(VLOOKUP(TA[[#This Row],[Date]],Raw_Data[[Date]:[Sunset Time (POA&lt;20 W/m2)]],4,0),"")</f>
        <v>0.77222222222222225</v>
      </c>
      <c r="K1444" s="35">
        <f>IFERROR((TA[[#This Row],[Sunset Time (POA&lt;20 W/m2)]]-TA[[#This Row],[Sunrise Time (POA&gt;20 W/m2)]])*24,"")</f>
        <v>12.316666666666668</v>
      </c>
      <c r="L1444" s="2" t="s">
        <v>296</v>
      </c>
      <c r="M1444" s="42">
        <f>IFERROR(VLOOKUP(TA[[#This Row],[Affected Equipment]],'Basic Data'!$I$2:$K$40,3,0),"")</f>
        <v>8.6206896551724102E-3</v>
      </c>
      <c r="N1444">
        <v>-28</v>
      </c>
      <c r="O1444" t="s">
        <v>134</v>
      </c>
      <c r="P1444" s="22" t="s">
        <v>330</v>
      </c>
      <c r="Q1444" s="2" t="s">
        <v>323</v>
      </c>
      <c r="R1444">
        <v>31</v>
      </c>
      <c r="S1444" s="2">
        <v>61</v>
      </c>
      <c r="T1444" t="s">
        <v>297</v>
      </c>
      <c r="U1444" t="s">
        <v>300</v>
      </c>
      <c r="V1444" t="s">
        <v>301</v>
      </c>
      <c r="W1444" s="41"/>
      <c r="X1444" s="41"/>
      <c r="Y1444" s="34"/>
      <c r="Z1444" s="34"/>
      <c r="AA1444" s="35">
        <f>IF(TA[[#This Row],[Work Start time on Fault]]="NA","",(TA[[#This Row],[Fault Acknowledgement Time ]]-TA[[#This Row],[Fault Time]])*24)</f>
        <v>0</v>
      </c>
      <c r="AB1444" s="35">
        <f>(TA[[#This Row],[Work Start time on Fault]]-TA[[#This Row],[Fault Time]])*24</f>
        <v>0</v>
      </c>
      <c r="AC1444" s="34">
        <f>(TA[[#This Row],[Work Completion time on fault]]-TA[[#This Row],[Fault Time]])*24</f>
        <v>0</v>
      </c>
      <c r="AD1444" s="35">
        <f>IFERROR((TA[[#This Row],[Work Completion time on fault]]-TA[[#This Row],[Fault Time]])*24,"")</f>
        <v>0</v>
      </c>
      <c r="AE1444" t="s">
        <v>328</v>
      </c>
      <c r="AF1444" t="s">
        <v>256</v>
      </c>
      <c r="AG1444" s="2"/>
      <c r="AH1444" s="44">
        <f>1-COS(RADIANS(TA[[#This Row],[Avg. Target Angle during Fault Time (Radians)]]-TA[[#This Row],[Angle of affected equipment ]]))</f>
        <v>0.11705240714107301</v>
      </c>
      <c r="AI1444" s="35">
        <f>IFERROR(TA[[#This Row],[Breakdown Time]]*TA[[#This Row],[Plant Equivalent Weightage]],"")</f>
        <v>0</v>
      </c>
    </row>
    <row r="1445" spans="1:35">
      <c r="A1445" s="2">
        <f t="shared" si="165"/>
        <v>1442</v>
      </c>
      <c r="B1445" s="156">
        <f t="shared" si="172"/>
        <v>2026</v>
      </c>
      <c r="C1445" s="129">
        <f t="shared" si="173"/>
        <v>2025</v>
      </c>
      <c r="D1445" s="2" t="s">
        <v>155</v>
      </c>
      <c r="E1445" s="2" t="s">
        <v>155</v>
      </c>
      <c r="F1445" s="39">
        <v>45839</v>
      </c>
      <c r="G1445" s="2">
        <f>DAY(EOMONTH(TA[[#This Row],[Month Year]],0))</f>
        <v>31</v>
      </c>
      <c r="H1445" s="21">
        <v>45847</v>
      </c>
      <c r="I1445" s="41">
        <f>IFERROR(VLOOKUP(TA[[#This Row],[Date]],Raw_Data[[Date]:[Sunset Time (POA&lt;20 W/m2)]],3,0),"")</f>
        <v>0.2590277777777778</v>
      </c>
      <c r="J1445" s="41">
        <f>IFERROR(VLOOKUP(TA[[#This Row],[Date]],Raw_Data[[Date]:[Sunset Time (POA&lt;20 W/m2)]],4,0),"")</f>
        <v>0.77222222222222225</v>
      </c>
      <c r="K1445" s="35">
        <f>IFERROR((TA[[#This Row],[Sunset Time (POA&lt;20 W/m2)]]-TA[[#This Row],[Sunrise Time (POA&gt;20 W/m2)]])*24,"")</f>
        <v>12.316666666666668</v>
      </c>
      <c r="L1445" s="2" t="s">
        <v>312</v>
      </c>
      <c r="M1445" s="42">
        <f>IFERROR(VLOOKUP(TA[[#This Row],[Affected Equipment]],'Basic Data'!$I$2:$K$40,3,0),"")</f>
        <v>5.74712643678161E-3</v>
      </c>
      <c r="N1445">
        <v>-28</v>
      </c>
      <c r="O1445" t="s">
        <v>133</v>
      </c>
      <c r="P1445" s="22" t="s">
        <v>330</v>
      </c>
      <c r="Q1445" s="2" t="s">
        <v>323</v>
      </c>
      <c r="R1445">
        <v>26</v>
      </c>
      <c r="S1445" s="2">
        <v>37</v>
      </c>
      <c r="T1445" t="s">
        <v>297</v>
      </c>
      <c r="U1445" t="s">
        <v>300</v>
      </c>
      <c r="V1445" t="s">
        <v>301</v>
      </c>
      <c r="W1445" s="41"/>
      <c r="X1445" s="41"/>
      <c r="Y1445" s="34"/>
      <c r="Z1445" s="34"/>
      <c r="AA1445" s="35">
        <f>IF(TA[[#This Row],[Work Start time on Fault]]="NA","",(TA[[#This Row],[Fault Acknowledgement Time ]]-TA[[#This Row],[Fault Time]])*24)</f>
        <v>0</v>
      </c>
      <c r="AB1445" s="35">
        <f>(TA[[#This Row],[Work Start time on Fault]]-TA[[#This Row],[Fault Time]])*24</f>
        <v>0</v>
      </c>
      <c r="AC1445" s="34">
        <f>(TA[[#This Row],[Work Completion time on fault]]-TA[[#This Row],[Fault Time]])*24</f>
        <v>0</v>
      </c>
      <c r="AD1445" s="35">
        <f>IFERROR((TA[[#This Row],[Work Completion time on fault]]-TA[[#This Row],[Fault Time]])*24,"")</f>
        <v>0</v>
      </c>
      <c r="AE1445" t="s">
        <v>328</v>
      </c>
      <c r="AF1445" t="s">
        <v>256</v>
      </c>
      <c r="AG1445" s="2"/>
      <c r="AH1445" s="44">
        <f>1-COS(RADIANS(TA[[#This Row],[Avg. Target Angle during Fault Time (Radians)]]-TA[[#This Row],[Angle of affected equipment ]]))</f>
        <v>0.11705240714107301</v>
      </c>
      <c r="AI1445" s="35">
        <f>IFERROR(TA[[#This Row],[Breakdown Time]]*TA[[#This Row],[Plant Equivalent Weightage]],"")</f>
        <v>0</v>
      </c>
    </row>
    <row r="1446" spans="1:35">
      <c r="A1446" s="2">
        <f t="shared" si="165"/>
        <v>1443</v>
      </c>
      <c r="B1446" s="156">
        <f t="shared" si="172"/>
        <v>2026</v>
      </c>
      <c r="C1446" s="129">
        <f t="shared" si="173"/>
        <v>2025</v>
      </c>
      <c r="D1446" s="2" t="s">
        <v>155</v>
      </c>
      <c r="E1446" s="2" t="s">
        <v>155</v>
      </c>
      <c r="F1446" s="39">
        <v>45839</v>
      </c>
      <c r="G1446" s="2">
        <f>DAY(EOMONTH(TA[[#This Row],[Month Year]],0))</f>
        <v>31</v>
      </c>
      <c r="H1446" s="21">
        <v>45847</v>
      </c>
      <c r="I1446" s="41">
        <f>IFERROR(VLOOKUP(TA[[#This Row],[Date]],Raw_Data[[Date]:[Sunset Time (POA&lt;20 W/m2)]],3,0),"")</f>
        <v>0.2590277777777778</v>
      </c>
      <c r="J1446" s="41">
        <f>IFERROR(VLOOKUP(TA[[#This Row],[Date]],Raw_Data[[Date]:[Sunset Time (POA&lt;20 W/m2)]],4,0),"")</f>
        <v>0.77222222222222225</v>
      </c>
      <c r="K1446" s="35">
        <f>IFERROR((TA[[#This Row],[Sunset Time (POA&lt;20 W/m2)]]-TA[[#This Row],[Sunrise Time (POA&gt;20 W/m2)]])*24,"")</f>
        <v>12.316666666666668</v>
      </c>
      <c r="L1446" s="2" t="s">
        <v>312</v>
      </c>
      <c r="M1446" s="42">
        <f>IFERROR(VLOOKUP(TA[[#This Row],[Affected Equipment]],'Basic Data'!$I$2:$K$40,3,0),"")</f>
        <v>5.74712643678161E-3</v>
      </c>
      <c r="N1446">
        <v>-28</v>
      </c>
      <c r="O1446" t="s">
        <v>133</v>
      </c>
      <c r="P1446" s="22" t="s">
        <v>330</v>
      </c>
      <c r="Q1446" s="2" t="s">
        <v>323</v>
      </c>
      <c r="R1446">
        <v>27</v>
      </c>
      <c r="S1446" s="2">
        <v>42</v>
      </c>
      <c r="T1446" t="s">
        <v>297</v>
      </c>
      <c r="U1446" t="s">
        <v>300</v>
      </c>
      <c r="V1446" t="s">
        <v>301</v>
      </c>
      <c r="W1446" s="41">
        <f>IFERROR(VLOOKUP(TA[[#This Row],[Date]],Raw_Data[[Date]:[Sunset Time (POA&lt;20 W/m2)]],3,0),"")</f>
        <v>0.2590277777777778</v>
      </c>
      <c r="X1446" s="41">
        <f>IFERROR(VLOOKUP(TA[[#This Row],[Date]],Raw_Data[[Date]:[Sunset Time (POA&lt;20 W/m2)]],3,0),"")</f>
        <v>0.2590277777777778</v>
      </c>
      <c r="Y1446" s="34"/>
      <c r="Z1446" s="34">
        <v>0.76041666666666663</v>
      </c>
      <c r="AA1446" s="35">
        <f>IF(TA[[#This Row],[Work Start time on Fault]]="NA","",(TA[[#This Row],[Fault Acknowledgement Time ]]-TA[[#This Row],[Fault Time]])*24)</f>
        <v>0</v>
      </c>
      <c r="AB1446" s="35">
        <f>(TA[[#This Row],[Work Start time on Fault]]-TA[[#This Row],[Fault Time]])*24</f>
        <v>-6.2166666666666668</v>
      </c>
      <c r="AC1446" s="34">
        <f>(TA[[#This Row],[Work Completion time on fault]]-TA[[#This Row],[Fault Time]])*24</f>
        <v>12.033333333333333</v>
      </c>
      <c r="AD1446" s="35">
        <f>IFERROR((TA[[#This Row],[Work Completion time on fault]]-TA[[#This Row],[Fault Time]])*24,"")</f>
        <v>12.033333333333333</v>
      </c>
      <c r="AE1446" t="s">
        <v>309</v>
      </c>
      <c r="AF1446" t="s">
        <v>256</v>
      </c>
      <c r="AG1446" s="2"/>
      <c r="AH1446" s="44">
        <f>1-COS(RADIANS(TA[[#This Row],[Avg. Target Angle during Fault Time (Radians)]]-TA[[#This Row],[Angle of affected equipment ]]))</f>
        <v>0.11705240714107301</v>
      </c>
      <c r="AI1446" s="35">
        <f>IFERROR(TA[[#This Row],[Breakdown Time]]*TA[[#This Row],[Plant Equivalent Weightage]],"")</f>
        <v>6.9157088122605376E-2</v>
      </c>
    </row>
    <row r="1447" spans="1:35">
      <c r="A1447" s="2">
        <f t="shared" si="165"/>
        <v>1444</v>
      </c>
      <c r="B1447" s="156">
        <f t="shared" ref="B1447:B1459" si="174">YEAR(H1447)+IF(MONTH(H1447)&gt;=4,1,0)</f>
        <v>2026</v>
      </c>
      <c r="C1447" s="129">
        <f t="shared" ref="C1447:C1459" si="175">YEAR(H1447)</f>
        <v>2025</v>
      </c>
      <c r="D1447" s="2" t="s">
        <v>155</v>
      </c>
      <c r="E1447" s="2" t="s">
        <v>155</v>
      </c>
      <c r="F1447" s="39">
        <v>45839</v>
      </c>
      <c r="G1447" s="2">
        <f>DAY(EOMONTH(TA[[#This Row],[Month Year]],0))</f>
        <v>31</v>
      </c>
      <c r="H1447" s="21">
        <v>45848</v>
      </c>
      <c r="I1447" s="41">
        <f>IFERROR(VLOOKUP(TA[[#This Row],[Date]],Raw_Data[[Date]:[Sunset Time (POA&lt;20 W/m2)]],3,0),"")</f>
        <v>0.25416666666666665</v>
      </c>
      <c r="J1447" s="41">
        <f>IFERROR(VLOOKUP(TA[[#This Row],[Date]],Raw_Data[[Date]:[Sunset Time (POA&lt;20 W/m2)]],4,0),"")</f>
        <v>0.78680555555555554</v>
      </c>
      <c r="K1447" s="35">
        <f>IFERROR((TA[[#This Row],[Sunset Time (POA&lt;20 W/m2)]]-TA[[#This Row],[Sunrise Time (POA&gt;20 W/m2)]])*24,"")</f>
        <v>12.783333333333333</v>
      </c>
      <c r="L1447" s="2" t="s">
        <v>294</v>
      </c>
      <c r="M1447" s="42">
        <f>IFERROR(VLOOKUP(TA[[#This Row],[Affected Equipment]],'Basic Data'!$I$2:$K$40,3,0),"")</f>
        <v>1.7241379310344799E-3</v>
      </c>
      <c r="N1447">
        <v>-28</v>
      </c>
      <c r="O1447" t="s">
        <v>135</v>
      </c>
      <c r="P1447" s="127" t="s">
        <v>318</v>
      </c>
      <c r="Q1447" s="126" t="s">
        <v>318</v>
      </c>
      <c r="R1447">
        <v>131</v>
      </c>
      <c r="S1447" s="2">
        <v>38</v>
      </c>
      <c r="T1447" t="s">
        <v>295</v>
      </c>
      <c r="U1447" t="s">
        <v>300</v>
      </c>
      <c r="V1447" t="s">
        <v>298</v>
      </c>
      <c r="W1447" s="41"/>
      <c r="X1447" s="41"/>
      <c r="Y1447" s="34"/>
      <c r="Z1447" s="34"/>
      <c r="AA1447" s="35">
        <f>IF(TA[[#This Row],[Work Start time on Fault]]="NA","",(TA[[#This Row],[Fault Acknowledgement Time ]]-TA[[#This Row],[Fault Time]])*24)</f>
        <v>0</v>
      </c>
      <c r="AB1447" s="35">
        <f>(TA[[#This Row],[Work Start time on Fault]]-TA[[#This Row],[Fault Time]])*24</f>
        <v>0</v>
      </c>
      <c r="AC1447" s="34">
        <f>(TA[[#This Row],[Work Completion time on fault]]-TA[[#This Row],[Fault Time]])*24</f>
        <v>0</v>
      </c>
      <c r="AD1447" s="35">
        <f>IFERROR((TA[[#This Row],[Work Completion time on fault]]-TA[[#This Row],[Fault Time]])*24,"")</f>
        <v>0</v>
      </c>
      <c r="AE1447" t="s">
        <v>328</v>
      </c>
      <c r="AF1447" t="s">
        <v>256</v>
      </c>
      <c r="AG1447" s="2"/>
      <c r="AH1447" s="44">
        <f>1-COS(RADIANS(TA[[#This Row],[Avg. Target Angle during Fault Time (Radians)]]-TA[[#This Row],[Angle of affected equipment ]]))</f>
        <v>0.11705240714107301</v>
      </c>
      <c r="AI1447" s="35">
        <f>IFERROR(TA[[#This Row],[Breakdown Time]]*TA[[#This Row],[Plant Equivalent Weightage]],"")</f>
        <v>0</v>
      </c>
    </row>
    <row r="1448" spans="1:35">
      <c r="A1448" s="2">
        <f t="shared" ref="A1448:A1498" si="176">A1447+1</f>
        <v>1445</v>
      </c>
      <c r="B1448" s="156">
        <f t="shared" si="174"/>
        <v>2026</v>
      </c>
      <c r="C1448" s="129">
        <f t="shared" si="175"/>
        <v>2025</v>
      </c>
      <c r="D1448" s="2" t="s">
        <v>155</v>
      </c>
      <c r="E1448" s="2" t="s">
        <v>155</v>
      </c>
      <c r="F1448" s="39">
        <v>45839</v>
      </c>
      <c r="G1448" s="2">
        <f>DAY(EOMONTH(TA[[#This Row],[Month Year]],0))</f>
        <v>31</v>
      </c>
      <c r="H1448" s="21">
        <v>45848</v>
      </c>
      <c r="I1448" s="41">
        <f>IFERROR(VLOOKUP(TA[[#This Row],[Date]],Raw_Data[[Date]:[Sunset Time (POA&lt;20 W/m2)]],3,0),"")</f>
        <v>0.25416666666666665</v>
      </c>
      <c r="J1448" s="41">
        <f>IFERROR(VLOOKUP(TA[[#This Row],[Date]],Raw_Data[[Date]:[Sunset Time (POA&lt;20 W/m2)]],4,0),"")</f>
        <v>0.78680555555555554</v>
      </c>
      <c r="K1448" s="35">
        <f>IFERROR((TA[[#This Row],[Sunset Time (POA&lt;20 W/m2)]]-TA[[#This Row],[Sunrise Time (POA&gt;20 W/m2)]])*24,"")</f>
        <v>12.783333333333333</v>
      </c>
      <c r="L1448" s="2" t="s">
        <v>294</v>
      </c>
      <c r="M1448" s="42">
        <f>IFERROR(VLOOKUP(TA[[#This Row],[Affected Equipment]],'Basic Data'!$I$2:$K$40,3,0),"")</f>
        <v>1.7241379310344799E-3</v>
      </c>
      <c r="N1448">
        <v>-28</v>
      </c>
      <c r="O1448" t="s">
        <v>135</v>
      </c>
      <c r="P1448" s="127" t="s">
        <v>318</v>
      </c>
      <c r="Q1448" s="126" t="s">
        <v>318</v>
      </c>
      <c r="R1448">
        <v>131</v>
      </c>
      <c r="S1448" s="2">
        <v>39</v>
      </c>
      <c r="T1448" t="s">
        <v>295</v>
      </c>
      <c r="U1448" t="s">
        <v>300</v>
      </c>
      <c r="V1448" t="s">
        <v>298</v>
      </c>
      <c r="W1448" s="41"/>
      <c r="X1448" s="41"/>
      <c r="Y1448" s="34"/>
      <c r="Z1448" s="34"/>
      <c r="AA1448" s="35">
        <f>IF(TA[[#This Row],[Work Start time on Fault]]="NA","",(TA[[#This Row],[Fault Acknowledgement Time ]]-TA[[#This Row],[Fault Time]])*24)</f>
        <v>0</v>
      </c>
      <c r="AB1448" s="35">
        <f>(TA[[#This Row],[Work Start time on Fault]]-TA[[#This Row],[Fault Time]])*24</f>
        <v>0</v>
      </c>
      <c r="AC1448" s="34">
        <f>(TA[[#This Row],[Work Completion time on fault]]-TA[[#This Row],[Fault Time]])*24</f>
        <v>0</v>
      </c>
      <c r="AD1448" s="35">
        <f>IFERROR((TA[[#This Row],[Work Completion time on fault]]-TA[[#This Row],[Fault Time]])*24,"")</f>
        <v>0</v>
      </c>
      <c r="AE1448" t="s">
        <v>328</v>
      </c>
      <c r="AF1448" t="s">
        <v>256</v>
      </c>
      <c r="AG1448" s="2"/>
      <c r="AH1448" s="44">
        <f>1-COS(RADIANS(TA[[#This Row],[Avg. Target Angle during Fault Time (Radians)]]-TA[[#This Row],[Angle of affected equipment ]]))</f>
        <v>0.11705240714107301</v>
      </c>
      <c r="AI1448" s="35">
        <f>IFERROR(TA[[#This Row],[Breakdown Time]]*TA[[#This Row],[Plant Equivalent Weightage]],"")</f>
        <v>0</v>
      </c>
    </row>
    <row r="1449" spans="1:35">
      <c r="A1449" s="2">
        <f t="shared" si="176"/>
        <v>1446</v>
      </c>
      <c r="B1449" s="156">
        <f t="shared" si="174"/>
        <v>2026</v>
      </c>
      <c r="C1449" s="129">
        <f t="shared" si="175"/>
        <v>2025</v>
      </c>
      <c r="D1449" s="2" t="s">
        <v>155</v>
      </c>
      <c r="E1449" s="2" t="s">
        <v>155</v>
      </c>
      <c r="F1449" s="39">
        <v>45839</v>
      </c>
      <c r="G1449" s="2">
        <f>DAY(EOMONTH(TA[[#This Row],[Month Year]],0))</f>
        <v>31</v>
      </c>
      <c r="H1449" s="21">
        <v>45848</v>
      </c>
      <c r="I1449" s="41">
        <f>IFERROR(VLOOKUP(TA[[#This Row],[Date]],Raw_Data[[Date]:[Sunset Time (POA&lt;20 W/m2)]],3,0),"")</f>
        <v>0.25416666666666665</v>
      </c>
      <c r="J1449" s="41">
        <f>IFERROR(VLOOKUP(TA[[#This Row],[Date]],Raw_Data[[Date]:[Sunset Time (POA&lt;20 W/m2)]],4,0),"")</f>
        <v>0.78680555555555554</v>
      </c>
      <c r="K1449" s="35">
        <f>IFERROR((TA[[#This Row],[Sunset Time (POA&lt;20 W/m2)]]-TA[[#This Row],[Sunrise Time (POA&gt;20 W/m2)]])*24,"")</f>
        <v>12.783333333333333</v>
      </c>
      <c r="L1449" s="2" t="s">
        <v>296</v>
      </c>
      <c r="M1449" s="42">
        <f>IFERROR(VLOOKUP(TA[[#This Row],[Affected Equipment]],'Basic Data'!$I$2:$K$40,3,0),"")</f>
        <v>8.6206896551724102E-3</v>
      </c>
      <c r="N1449">
        <v>-28</v>
      </c>
      <c r="O1449" t="s">
        <v>135</v>
      </c>
      <c r="P1449" s="127" t="s">
        <v>318</v>
      </c>
      <c r="Q1449" s="2" t="s">
        <v>321</v>
      </c>
      <c r="R1449">
        <v>133</v>
      </c>
      <c r="S1449" s="2">
        <v>26</v>
      </c>
      <c r="T1449" t="s">
        <v>297</v>
      </c>
      <c r="U1449" t="s">
        <v>300</v>
      </c>
      <c r="V1449" t="s">
        <v>314</v>
      </c>
      <c r="W1449" s="41">
        <f>IFERROR(VLOOKUP(TA[[#This Row],[Date]],Raw_Data[[Date]:[Sunset Time (POA&lt;20 W/m2)]],3,0),"")</f>
        <v>0.25416666666666665</v>
      </c>
      <c r="X1449" s="41">
        <f>IFERROR(VLOOKUP(TA[[#This Row],[Date]],Raw_Data[[Date]:[Sunset Time (POA&lt;20 W/m2)]],3,0),"")</f>
        <v>0.25416666666666665</v>
      </c>
      <c r="Y1449" s="34"/>
      <c r="Z1449" s="34">
        <v>0.76041666666666663</v>
      </c>
      <c r="AA1449" s="35">
        <f>IF(TA[[#This Row],[Work Start time on Fault]]="NA","",(TA[[#This Row],[Fault Acknowledgement Time ]]-TA[[#This Row],[Fault Time]])*24)</f>
        <v>0</v>
      </c>
      <c r="AB1449" s="35">
        <f>(TA[[#This Row],[Work Start time on Fault]]-TA[[#This Row],[Fault Time]])*24</f>
        <v>-6.1</v>
      </c>
      <c r="AC1449" s="34">
        <f>(TA[[#This Row],[Work Completion time on fault]]-TA[[#This Row],[Fault Time]])*24</f>
        <v>12.149999999999999</v>
      </c>
      <c r="AD1449" s="35">
        <f>IFERROR((TA[[#This Row],[Work Completion time on fault]]-TA[[#This Row],[Fault Time]])*24,"")</f>
        <v>12.149999999999999</v>
      </c>
      <c r="AE1449" t="s">
        <v>328</v>
      </c>
      <c r="AF1449" t="s">
        <v>256</v>
      </c>
      <c r="AG1449" s="2"/>
      <c r="AH1449" s="44">
        <f>1-COS(RADIANS(TA[[#This Row],[Avg. Target Angle during Fault Time (Radians)]]-TA[[#This Row],[Angle of affected equipment ]]))</f>
        <v>0.11705240714107301</v>
      </c>
      <c r="AI1449" s="35">
        <f>IFERROR(TA[[#This Row],[Breakdown Time]]*TA[[#This Row],[Plant Equivalent Weightage]],"")</f>
        <v>0.10474137931034477</v>
      </c>
    </row>
    <row r="1450" spans="1:35">
      <c r="A1450" s="2">
        <f t="shared" si="176"/>
        <v>1447</v>
      </c>
      <c r="B1450" s="156">
        <f t="shared" si="174"/>
        <v>2026</v>
      </c>
      <c r="C1450" s="129">
        <f t="shared" si="175"/>
        <v>2025</v>
      </c>
      <c r="D1450" s="2" t="s">
        <v>155</v>
      </c>
      <c r="E1450" s="2" t="s">
        <v>155</v>
      </c>
      <c r="F1450" s="39">
        <v>45839</v>
      </c>
      <c r="G1450" s="2">
        <f>DAY(EOMONTH(TA[[#This Row],[Month Year]],0))</f>
        <v>31</v>
      </c>
      <c r="H1450" s="21">
        <v>45848</v>
      </c>
      <c r="I1450" s="41">
        <f>IFERROR(VLOOKUP(TA[[#This Row],[Date]],Raw_Data[[Date]:[Sunset Time (POA&lt;20 W/m2)]],3,0),"")</f>
        <v>0.25416666666666665</v>
      </c>
      <c r="J1450" s="41">
        <f>IFERROR(VLOOKUP(TA[[#This Row],[Date]],Raw_Data[[Date]:[Sunset Time (POA&lt;20 W/m2)]],4,0),"")</f>
        <v>0.78680555555555554</v>
      </c>
      <c r="K1450" s="35">
        <f>IFERROR((TA[[#This Row],[Sunset Time (POA&lt;20 W/m2)]]-TA[[#This Row],[Sunrise Time (POA&gt;20 W/m2)]])*24,"")</f>
        <v>12.783333333333333</v>
      </c>
      <c r="L1450" s="2" t="s">
        <v>294</v>
      </c>
      <c r="M1450" s="42">
        <f>IFERROR(VLOOKUP(TA[[#This Row],[Affected Equipment]],'Basic Data'!$I$2:$K$40,3,0),"")</f>
        <v>1.7241379310344799E-3</v>
      </c>
      <c r="N1450">
        <v>-28</v>
      </c>
      <c r="O1450" t="s">
        <v>133</v>
      </c>
      <c r="P1450" s="127" t="s">
        <v>316</v>
      </c>
      <c r="Q1450" s="126" t="s">
        <v>317</v>
      </c>
      <c r="R1450">
        <v>7</v>
      </c>
      <c r="S1450" s="2">
        <v>32</v>
      </c>
      <c r="T1450" t="s">
        <v>295</v>
      </c>
      <c r="U1450" t="s">
        <v>300</v>
      </c>
      <c r="V1450" t="s">
        <v>298</v>
      </c>
      <c r="W1450" s="41"/>
      <c r="X1450" s="41"/>
      <c r="Y1450" s="34"/>
      <c r="Z1450" s="34"/>
      <c r="AA1450" s="35">
        <f>IF(TA[[#This Row],[Work Start time on Fault]]="NA","",(TA[[#This Row],[Fault Acknowledgement Time ]]-TA[[#This Row],[Fault Time]])*24)</f>
        <v>0</v>
      </c>
      <c r="AB1450" s="35">
        <f>(TA[[#This Row],[Work Start time on Fault]]-TA[[#This Row],[Fault Time]])*24</f>
        <v>0</v>
      </c>
      <c r="AC1450" s="34">
        <f>(TA[[#This Row],[Work Completion time on fault]]-TA[[#This Row],[Fault Time]])*24</f>
        <v>0</v>
      </c>
      <c r="AD1450" s="35">
        <f>IFERROR((TA[[#This Row],[Work Completion time on fault]]-TA[[#This Row],[Fault Time]])*24,"")</f>
        <v>0</v>
      </c>
      <c r="AE1450" t="s">
        <v>328</v>
      </c>
      <c r="AF1450" t="s">
        <v>256</v>
      </c>
      <c r="AG1450" s="2"/>
      <c r="AH1450" s="44">
        <f>1-COS(RADIANS(TA[[#This Row],[Avg. Target Angle during Fault Time (Radians)]]-TA[[#This Row],[Angle of affected equipment ]]))</f>
        <v>0.11705240714107301</v>
      </c>
      <c r="AI1450" s="35">
        <f>IFERROR(TA[[#This Row],[Breakdown Time]]*TA[[#This Row],[Plant Equivalent Weightage]],"")</f>
        <v>0</v>
      </c>
    </row>
    <row r="1451" spans="1:35">
      <c r="A1451" s="2">
        <f t="shared" si="176"/>
        <v>1448</v>
      </c>
      <c r="B1451" s="156">
        <f t="shared" si="174"/>
        <v>2026</v>
      </c>
      <c r="C1451" s="129">
        <f t="shared" si="175"/>
        <v>2025</v>
      </c>
      <c r="D1451" s="2" t="s">
        <v>155</v>
      </c>
      <c r="E1451" s="2" t="s">
        <v>155</v>
      </c>
      <c r="F1451" s="39">
        <v>45839</v>
      </c>
      <c r="G1451" s="2">
        <f>DAY(EOMONTH(TA[[#This Row],[Month Year]],0))</f>
        <v>31</v>
      </c>
      <c r="H1451" s="21">
        <v>45848</v>
      </c>
      <c r="I1451" s="41">
        <f>IFERROR(VLOOKUP(TA[[#This Row],[Date]],Raw_Data[[Date]:[Sunset Time (POA&lt;20 W/m2)]],3,0),"")</f>
        <v>0.25416666666666665</v>
      </c>
      <c r="J1451" s="41">
        <f>IFERROR(VLOOKUP(TA[[#This Row],[Date]],Raw_Data[[Date]:[Sunset Time (POA&lt;20 W/m2)]],4,0),"")</f>
        <v>0.78680555555555554</v>
      </c>
      <c r="K1451" s="35">
        <f>IFERROR((TA[[#This Row],[Sunset Time (POA&lt;20 W/m2)]]-TA[[#This Row],[Sunrise Time (POA&gt;20 W/m2)]])*24,"")</f>
        <v>12.783333333333333</v>
      </c>
      <c r="L1451" s="2" t="s">
        <v>294</v>
      </c>
      <c r="M1451" s="42">
        <f>IFERROR(VLOOKUP(TA[[#This Row],[Affected Equipment]],'Basic Data'!$I$2:$K$40,3,0),"")</f>
        <v>1.7241379310344799E-3</v>
      </c>
      <c r="N1451">
        <v>-28</v>
      </c>
      <c r="O1451" t="s">
        <v>137</v>
      </c>
      <c r="P1451" s="127" t="s">
        <v>315</v>
      </c>
      <c r="Q1451" s="126" t="s">
        <v>319</v>
      </c>
      <c r="R1451">
        <v>166</v>
      </c>
      <c r="S1451" s="2">
        <v>91</v>
      </c>
      <c r="T1451" t="s">
        <v>295</v>
      </c>
      <c r="U1451" t="s">
        <v>300</v>
      </c>
      <c r="V1451" t="s">
        <v>298</v>
      </c>
      <c r="W1451" s="41"/>
      <c r="X1451" s="41"/>
      <c r="Y1451" s="34"/>
      <c r="Z1451" s="34"/>
      <c r="AA1451" s="35">
        <f>IF(TA[[#This Row],[Work Start time on Fault]]="NA","",(TA[[#This Row],[Fault Acknowledgement Time ]]-TA[[#This Row],[Fault Time]])*24)</f>
        <v>0</v>
      </c>
      <c r="AB1451" s="35">
        <f>(TA[[#This Row],[Work Start time on Fault]]-TA[[#This Row],[Fault Time]])*24</f>
        <v>0</v>
      </c>
      <c r="AC1451" s="34">
        <f>(TA[[#This Row],[Work Completion time on fault]]-TA[[#This Row],[Fault Time]])*24</f>
        <v>0</v>
      </c>
      <c r="AD1451" s="35">
        <f>IFERROR((TA[[#This Row],[Work Completion time on fault]]-TA[[#This Row],[Fault Time]])*24,"")</f>
        <v>0</v>
      </c>
      <c r="AE1451" t="s">
        <v>328</v>
      </c>
      <c r="AF1451" t="s">
        <v>256</v>
      </c>
      <c r="AG1451" s="2"/>
      <c r="AH1451" s="44">
        <f>1-COS(RADIANS(TA[[#This Row],[Avg. Target Angle during Fault Time (Radians)]]-TA[[#This Row],[Angle of affected equipment ]]))</f>
        <v>0.11705240714107301</v>
      </c>
      <c r="AI1451" s="35">
        <f>IFERROR(TA[[#This Row],[Breakdown Time]]*TA[[#This Row],[Plant Equivalent Weightage]],"")</f>
        <v>0</v>
      </c>
    </row>
    <row r="1452" spans="1:35">
      <c r="A1452" s="2">
        <f t="shared" si="176"/>
        <v>1449</v>
      </c>
      <c r="B1452" s="156">
        <f t="shared" si="174"/>
        <v>2026</v>
      </c>
      <c r="C1452" s="129">
        <f t="shared" si="175"/>
        <v>2025</v>
      </c>
      <c r="D1452" s="2" t="s">
        <v>155</v>
      </c>
      <c r="E1452" s="2" t="s">
        <v>155</v>
      </c>
      <c r="F1452" s="39">
        <v>45839</v>
      </c>
      <c r="G1452" s="2">
        <f>DAY(EOMONTH(TA[[#This Row],[Month Year]],0))</f>
        <v>31</v>
      </c>
      <c r="H1452" s="21">
        <v>45848</v>
      </c>
      <c r="I1452" s="41">
        <f>IFERROR(VLOOKUP(TA[[#This Row],[Date]],Raw_Data[[Date]:[Sunset Time (POA&lt;20 W/m2)]],3,0),"")</f>
        <v>0.25416666666666665</v>
      </c>
      <c r="J1452" s="41">
        <f>IFERROR(VLOOKUP(TA[[#This Row],[Date]],Raw_Data[[Date]:[Sunset Time (POA&lt;20 W/m2)]],4,0),"")</f>
        <v>0.78680555555555554</v>
      </c>
      <c r="K1452" s="35">
        <f>IFERROR((TA[[#This Row],[Sunset Time (POA&lt;20 W/m2)]]-TA[[#This Row],[Sunrise Time (POA&gt;20 W/m2)]])*24,"")</f>
        <v>12.783333333333333</v>
      </c>
      <c r="L1452" s="2" t="s">
        <v>294</v>
      </c>
      <c r="M1452" s="42">
        <f>IFERROR(VLOOKUP(TA[[#This Row],[Affected Equipment]],'Basic Data'!$I$2:$K$40,3,0),"")</f>
        <v>1.7241379310344799E-3</v>
      </c>
      <c r="N1452">
        <v>-28</v>
      </c>
      <c r="O1452" t="s">
        <v>133</v>
      </c>
      <c r="P1452" s="127" t="s">
        <v>316</v>
      </c>
      <c r="Q1452" s="126" t="s">
        <v>316</v>
      </c>
      <c r="R1452">
        <v>117</v>
      </c>
      <c r="S1452" s="2">
        <v>20</v>
      </c>
      <c r="T1452" t="s">
        <v>295</v>
      </c>
      <c r="U1452" t="s">
        <v>300</v>
      </c>
      <c r="V1452" t="s">
        <v>298</v>
      </c>
      <c r="W1452" s="41"/>
      <c r="X1452" s="41"/>
      <c r="Y1452" s="34"/>
      <c r="Z1452" s="34"/>
      <c r="AA1452" s="35">
        <f>IF(TA[[#This Row],[Work Start time on Fault]]="NA","",(TA[[#This Row],[Fault Acknowledgement Time ]]-TA[[#This Row],[Fault Time]])*24)</f>
        <v>0</v>
      </c>
      <c r="AB1452" s="35">
        <f>(TA[[#This Row],[Work Start time on Fault]]-TA[[#This Row],[Fault Time]])*24</f>
        <v>0</v>
      </c>
      <c r="AC1452" s="34">
        <f>(TA[[#This Row],[Work Completion time on fault]]-TA[[#This Row],[Fault Time]])*24</f>
        <v>0</v>
      </c>
      <c r="AD1452" s="35">
        <f>IFERROR((TA[[#This Row],[Work Completion time on fault]]-TA[[#This Row],[Fault Time]])*24,"")</f>
        <v>0</v>
      </c>
      <c r="AE1452" t="s">
        <v>328</v>
      </c>
      <c r="AF1452" t="s">
        <v>256</v>
      </c>
      <c r="AG1452" s="2"/>
      <c r="AH1452" s="44">
        <f>1-COS(RADIANS(TA[[#This Row],[Avg. Target Angle during Fault Time (Radians)]]-TA[[#This Row],[Angle of affected equipment ]]))</f>
        <v>0.11705240714107301</v>
      </c>
      <c r="AI1452" s="35">
        <f>IFERROR(TA[[#This Row],[Breakdown Time]]*TA[[#This Row],[Plant Equivalent Weightage]],"")</f>
        <v>0</v>
      </c>
    </row>
    <row r="1453" spans="1:35">
      <c r="A1453" s="2">
        <f t="shared" si="176"/>
        <v>1450</v>
      </c>
      <c r="B1453" s="156">
        <f t="shared" si="174"/>
        <v>2026</v>
      </c>
      <c r="C1453" s="129">
        <f t="shared" si="175"/>
        <v>2025</v>
      </c>
      <c r="D1453" s="2" t="s">
        <v>155</v>
      </c>
      <c r="E1453" s="2" t="s">
        <v>155</v>
      </c>
      <c r="F1453" s="39">
        <v>45839</v>
      </c>
      <c r="G1453" s="2">
        <f>DAY(EOMONTH(TA[[#This Row],[Month Year]],0))</f>
        <v>31</v>
      </c>
      <c r="H1453" s="21">
        <v>45848</v>
      </c>
      <c r="I1453" s="41">
        <f>IFERROR(VLOOKUP(TA[[#This Row],[Date]],Raw_Data[[Date]:[Sunset Time (POA&lt;20 W/m2)]],3,0),"")</f>
        <v>0.25416666666666665</v>
      </c>
      <c r="J1453" s="41">
        <f>IFERROR(VLOOKUP(TA[[#This Row],[Date]],Raw_Data[[Date]:[Sunset Time (POA&lt;20 W/m2)]],4,0),"")</f>
        <v>0.78680555555555554</v>
      </c>
      <c r="K1453" s="35">
        <f>IFERROR((TA[[#This Row],[Sunset Time (POA&lt;20 W/m2)]]-TA[[#This Row],[Sunrise Time (POA&gt;20 W/m2)]])*24,"")</f>
        <v>12.783333333333333</v>
      </c>
      <c r="L1453" s="2" t="s">
        <v>294</v>
      </c>
      <c r="M1453" s="42">
        <f>IFERROR(VLOOKUP(TA[[#This Row],[Affected Equipment]],'Basic Data'!$I$2:$K$40,3,0),"")</f>
        <v>1.7241379310344799E-3</v>
      </c>
      <c r="N1453">
        <v>-28</v>
      </c>
      <c r="O1453" t="s">
        <v>133</v>
      </c>
      <c r="P1453" s="127" t="s">
        <v>316</v>
      </c>
      <c r="Q1453" s="126" t="s">
        <v>316</v>
      </c>
      <c r="R1453">
        <v>118</v>
      </c>
      <c r="S1453" s="2">
        <v>22</v>
      </c>
      <c r="T1453" t="s">
        <v>295</v>
      </c>
      <c r="U1453" t="s">
        <v>300</v>
      </c>
      <c r="V1453" t="s">
        <v>298</v>
      </c>
      <c r="W1453" s="41"/>
      <c r="X1453" s="41"/>
      <c r="Y1453" s="34"/>
      <c r="Z1453" s="34"/>
      <c r="AA1453" s="35">
        <f>IF(TA[[#This Row],[Work Start time on Fault]]="NA","",(TA[[#This Row],[Fault Acknowledgement Time ]]-TA[[#This Row],[Fault Time]])*24)</f>
        <v>0</v>
      </c>
      <c r="AB1453" s="35">
        <f>(TA[[#This Row],[Work Start time on Fault]]-TA[[#This Row],[Fault Time]])*24</f>
        <v>0</v>
      </c>
      <c r="AC1453" s="34">
        <f>(TA[[#This Row],[Work Completion time on fault]]-TA[[#This Row],[Fault Time]])*24</f>
        <v>0</v>
      </c>
      <c r="AD1453" s="35">
        <f>IFERROR((TA[[#This Row],[Work Completion time on fault]]-TA[[#This Row],[Fault Time]])*24,"")</f>
        <v>0</v>
      </c>
      <c r="AE1453" t="s">
        <v>328</v>
      </c>
      <c r="AF1453" t="s">
        <v>256</v>
      </c>
      <c r="AG1453" s="2"/>
      <c r="AH1453" s="44">
        <f>1-COS(RADIANS(TA[[#This Row],[Avg. Target Angle during Fault Time (Radians)]]-TA[[#This Row],[Angle of affected equipment ]]))</f>
        <v>0.11705240714107301</v>
      </c>
      <c r="AI1453" s="35">
        <f>IFERROR(TA[[#This Row],[Breakdown Time]]*TA[[#This Row],[Plant Equivalent Weightage]],"")</f>
        <v>0</v>
      </c>
    </row>
    <row r="1454" spans="1:35">
      <c r="A1454" s="2">
        <f t="shared" si="176"/>
        <v>1451</v>
      </c>
      <c r="B1454" s="156">
        <f t="shared" si="174"/>
        <v>2026</v>
      </c>
      <c r="C1454" s="129">
        <f t="shared" si="175"/>
        <v>2025</v>
      </c>
      <c r="D1454" s="2" t="s">
        <v>155</v>
      </c>
      <c r="E1454" s="2" t="s">
        <v>155</v>
      </c>
      <c r="F1454" s="39">
        <v>45839</v>
      </c>
      <c r="G1454" s="2">
        <f>DAY(EOMONTH(TA[[#This Row],[Month Year]],0))</f>
        <v>31</v>
      </c>
      <c r="H1454" s="21">
        <v>45848</v>
      </c>
      <c r="I1454" s="41">
        <f>IFERROR(VLOOKUP(TA[[#This Row],[Date]],Raw_Data[[Date]:[Sunset Time (POA&lt;20 W/m2)]],3,0),"")</f>
        <v>0.25416666666666665</v>
      </c>
      <c r="J1454" s="41">
        <f>IFERROR(VLOOKUP(TA[[#This Row],[Date]],Raw_Data[[Date]:[Sunset Time (POA&lt;20 W/m2)]],4,0),"")</f>
        <v>0.78680555555555554</v>
      </c>
      <c r="K1454" s="35">
        <f>IFERROR((TA[[#This Row],[Sunset Time (POA&lt;20 W/m2)]]-TA[[#This Row],[Sunrise Time (POA&gt;20 W/m2)]])*24,"")</f>
        <v>12.783333333333333</v>
      </c>
      <c r="L1454" s="2" t="s">
        <v>296</v>
      </c>
      <c r="M1454" s="42">
        <f>IFERROR(VLOOKUP(TA[[#This Row],[Affected Equipment]],'Basic Data'!$I$2:$K$40,3,0),"")</f>
        <v>8.6206896551724102E-3</v>
      </c>
      <c r="N1454">
        <v>-28</v>
      </c>
      <c r="O1454" t="s">
        <v>135</v>
      </c>
      <c r="P1454" s="22" t="s">
        <v>323</v>
      </c>
      <c r="Q1454" s="2" t="s">
        <v>329</v>
      </c>
      <c r="R1454">
        <v>45</v>
      </c>
      <c r="S1454" s="2">
        <v>8</v>
      </c>
      <c r="T1454" t="s">
        <v>297</v>
      </c>
      <c r="U1454" t="s">
        <v>300</v>
      </c>
      <c r="V1454" t="s">
        <v>301</v>
      </c>
      <c r="W1454" s="41"/>
      <c r="X1454" s="41"/>
      <c r="Y1454" s="34"/>
      <c r="Z1454" s="34"/>
      <c r="AA1454" s="35">
        <f>IF(TA[[#This Row],[Work Start time on Fault]]="NA","",(TA[[#This Row],[Fault Acknowledgement Time ]]-TA[[#This Row],[Fault Time]])*24)</f>
        <v>0</v>
      </c>
      <c r="AB1454" s="35">
        <f>(TA[[#This Row],[Work Start time on Fault]]-TA[[#This Row],[Fault Time]])*24</f>
        <v>0</v>
      </c>
      <c r="AC1454" s="34">
        <f>(TA[[#This Row],[Work Completion time on fault]]-TA[[#This Row],[Fault Time]])*24</f>
        <v>0</v>
      </c>
      <c r="AD1454" s="35">
        <f>IFERROR((TA[[#This Row],[Work Completion time on fault]]-TA[[#This Row],[Fault Time]])*24,"")</f>
        <v>0</v>
      </c>
      <c r="AE1454" t="s">
        <v>328</v>
      </c>
      <c r="AF1454" t="s">
        <v>256</v>
      </c>
      <c r="AG1454" s="2"/>
      <c r="AH1454" s="44">
        <f>1-COS(RADIANS(TA[[#This Row],[Avg. Target Angle during Fault Time (Radians)]]-TA[[#This Row],[Angle of affected equipment ]]))</f>
        <v>0.11705240714107301</v>
      </c>
      <c r="AI1454" s="35">
        <f>IFERROR(TA[[#This Row],[Breakdown Time]]*TA[[#This Row],[Plant Equivalent Weightage]],"")</f>
        <v>0</v>
      </c>
    </row>
    <row r="1455" spans="1:35">
      <c r="A1455" s="2">
        <f t="shared" si="176"/>
        <v>1452</v>
      </c>
      <c r="B1455" s="156">
        <f t="shared" si="174"/>
        <v>2026</v>
      </c>
      <c r="C1455" s="129">
        <f t="shared" si="175"/>
        <v>2025</v>
      </c>
      <c r="D1455" s="2" t="s">
        <v>155</v>
      </c>
      <c r="E1455" s="2" t="s">
        <v>155</v>
      </c>
      <c r="F1455" s="39">
        <v>45839</v>
      </c>
      <c r="G1455" s="2">
        <f>DAY(EOMONTH(TA[[#This Row],[Month Year]],0))</f>
        <v>31</v>
      </c>
      <c r="H1455" s="21">
        <v>45848</v>
      </c>
      <c r="I1455" s="41">
        <f>IFERROR(VLOOKUP(TA[[#This Row],[Date]],Raw_Data[[Date]:[Sunset Time (POA&lt;20 W/m2)]],3,0),"")</f>
        <v>0.25416666666666665</v>
      </c>
      <c r="J1455" s="41">
        <f>IFERROR(VLOOKUP(TA[[#This Row],[Date]],Raw_Data[[Date]:[Sunset Time (POA&lt;20 W/m2)]],4,0),"")</f>
        <v>0.78680555555555554</v>
      </c>
      <c r="K1455" s="35">
        <f>IFERROR((TA[[#This Row],[Sunset Time (POA&lt;20 W/m2)]]-TA[[#This Row],[Sunrise Time (POA&gt;20 W/m2)]])*24,"")</f>
        <v>12.783333333333333</v>
      </c>
      <c r="L1455" s="2" t="s">
        <v>296</v>
      </c>
      <c r="M1455" s="42">
        <f>IFERROR(VLOOKUP(TA[[#This Row],[Affected Equipment]],'Basic Data'!$I$2:$K$40,3,0),"")</f>
        <v>8.6206896551724102E-3</v>
      </c>
      <c r="N1455">
        <v>-28</v>
      </c>
      <c r="O1455" t="s">
        <v>135</v>
      </c>
      <c r="P1455" s="22" t="s">
        <v>323</v>
      </c>
      <c r="Q1455" s="2" t="s">
        <v>329</v>
      </c>
      <c r="R1455">
        <v>47</v>
      </c>
      <c r="S1455" s="2">
        <v>18</v>
      </c>
      <c r="T1455" t="s">
        <v>297</v>
      </c>
      <c r="U1455" t="s">
        <v>300</v>
      </c>
      <c r="V1455" t="s">
        <v>301</v>
      </c>
      <c r="W1455" s="41"/>
      <c r="X1455" s="41"/>
      <c r="Y1455" s="34"/>
      <c r="Z1455" s="34"/>
      <c r="AA1455" s="35">
        <f>IF(TA[[#This Row],[Work Start time on Fault]]="NA","",(TA[[#This Row],[Fault Acknowledgement Time ]]-TA[[#This Row],[Fault Time]])*24)</f>
        <v>0</v>
      </c>
      <c r="AB1455" s="35">
        <f>(TA[[#This Row],[Work Start time on Fault]]-TA[[#This Row],[Fault Time]])*24</f>
        <v>0</v>
      </c>
      <c r="AC1455" s="34">
        <f>(TA[[#This Row],[Work Completion time on fault]]-TA[[#This Row],[Fault Time]])*24</f>
        <v>0</v>
      </c>
      <c r="AD1455" s="35">
        <f>IFERROR((TA[[#This Row],[Work Completion time on fault]]-TA[[#This Row],[Fault Time]])*24,"")</f>
        <v>0</v>
      </c>
      <c r="AE1455" t="s">
        <v>328</v>
      </c>
      <c r="AF1455" t="s">
        <v>256</v>
      </c>
      <c r="AG1455" s="2"/>
      <c r="AH1455" s="44">
        <f>1-COS(RADIANS(TA[[#This Row],[Avg. Target Angle during Fault Time (Radians)]]-TA[[#This Row],[Angle of affected equipment ]]))</f>
        <v>0.11705240714107301</v>
      </c>
      <c r="AI1455" s="35">
        <f>IFERROR(TA[[#This Row],[Breakdown Time]]*TA[[#This Row],[Plant Equivalent Weightage]],"")</f>
        <v>0</v>
      </c>
    </row>
    <row r="1456" spans="1:35">
      <c r="A1456" s="2">
        <f t="shared" si="176"/>
        <v>1453</v>
      </c>
      <c r="B1456" s="156">
        <f t="shared" si="174"/>
        <v>2026</v>
      </c>
      <c r="C1456" s="129">
        <f t="shared" si="175"/>
        <v>2025</v>
      </c>
      <c r="D1456" s="2" t="s">
        <v>155</v>
      </c>
      <c r="E1456" s="2" t="s">
        <v>155</v>
      </c>
      <c r="F1456" s="39">
        <v>45839</v>
      </c>
      <c r="G1456" s="2">
        <f>DAY(EOMONTH(TA[[#This Row],[Month Year]],0))</f>
        <v>31</v>
      </c>
      <c r="H1456" s="21">
        <v>45848</v>
      </c>
      <c r="I1456" s="41">
        <f>IFERROR(VLOOKUP(TA[[#This Row],[Date]],Raw_Data[[Date]:[Sunset Time (POA&lt;20 W/m2)]],3,0),"")</f>
        <v>0.25416666666666665</v>
      </c>
      <c r="J1456" s="41">
        <f>IFERROR(VLOOKUP(TA[[#This Row],[Date]],Raw_Data[[Date]:[Sunset Time (POA&lt;20 W/m2)]],4,0),"")</f>
        <v>0.78680555555555554</v>
      </c>
      <c r="K1456" s="35">
        <f>IFERROR((TA[[#This Row],[Sunset Time (POA&lt;20 W/m2)]]-TA[[#This Row],[Sunrise Time (POA&gt;20 W/m2)]])*24,"")</f>
        <v>12.783333333333333</v>
      </c>
      <c r="L1456" s="2" t="s">
        <v>296</v>
      </c>
      <c r="M1456" s="42">
        <f>IFERROR(VLOOKUP(TA[[#This Row],[Affected Equipment]],'Basic Data'!$I$2:$K$40,3,0),"")</f>
        <v>8.6206896551724102E-3</v>
      </c>
      <c r="N1456">
        <v>-28</v>
      </c>
      <c r="O1456" t="s">
        <v>134</v>
      </c>
      <c r="P1456" s="22" t="s">
        <v>330</v>
      </c>
      <c r="Q1456" s="2" t="s">
        <v>323</v>
      </c>
      <c r="R1456">
        <v>30</v>
      </c>
      <c r="S1456" s="2">
        <v>57</v>
      </c>
      <c r="T1456" t="s">
        <v>297</v>
      </c>
      <c r="U1456" t="s">
        <v>300</v>
      </c>
      <c r="V1456" t="s">
        <v>301</v>
      </c>
      <c r="W1456" s="41"/>
      <c r="X1456" s="41"/>
      <c r="Y1456" s="34"/>
      <c r="Z1456" s="34"/>
      <c r="AA1456" s="35">
        <f>IF(TA[[#This Row],[Work Start time on Fault]]="NA","",(TA[[#This Row],[Fault Acknowledgement Time ]]-TA[[#This Row],[Fault Time]])*24)</f>
        <v>0</v>
      </c>
      <c r="AB1456" s="35">
        <f>(TA[[#This Row],[Work Start time on Fault]]-TA[[#This Row],[Fault Time]])*24</f>
        <v>0</v>
      </c>
      <c r="AC1456" s="34">
        <f>(TA[[#This Row],[Work Completion time on fault]]-TA[[#This Row],[Fault Time]])*24</f>
        <v>0</v>
      </c>
      <c r="AD1456" s="35">
        <f>IFERROR((TA[[#This Row],[Work Completion time on fault]]-TA[[#This Row],[Fault Time]])*24,"")</f>
        <v>0</v>
      </c>
      <c r="AE1456" t="s">
        <v>328</v>
      </c>
      <c r="AF1456" t="s">
        <v>256</v>
      </c>
      <c r="AG1456" s="2"/>
      <c r="AH1456" s="44">
        <f>1-COS(RADIANS(TA[[#This Row],[Avg. Target Angle during Fault Time (Radians)]]-TA[[#This Row],[Angle of affected equipment ]]))</f>
        <v>0.11705240714107301</v>
      </c>
      <c r="AI1456" s="35">
        <f>IFERROR(TA[[#This Row],[Breakdown Time]]*TA[[#This Row],[Plant Equivalent Weightage]],"")</f>
        <v>0</v>
      </c>
    </row>
    <row r="1457" spans="1:35">
      <c r="A1457" s="2">
        <f t="shared" si="176"/>
        <v>1454</v>
      </c>
      <c r="B1457" s="156">
        <f t="shared" si="174"/>
        <v>2026</v>
      </c>
      <c r="C1457" s="129">
        <f t="shared" si="175"/>
        <v>2025</v>
      </c>
      <c r="D1457" s="2" t="s">
        <v>155</v>
      </c>
      <c r="E1457" s="2" t="s">
        <v>155</v>
      </c>
      <c r="F1457" s="39">
        <v>45839</v>
      </c>
      <c r="G1457" s="2">
        <f>DAY(EOMONTH(TA[[#This Row],[Month Year]],0))</f>
        <v>31</v>
      </c>
      <c r="H1457" s="21">
        <v>45848</v>
      </c>
      <c r="I1457" s="41">
        <f>IFERROR(VLOOKUP(TA[[#This Row],[Date]],Raw_Data[[Date]:[Sunset Time (POA&lt;20 W/m2)]],3,0),"")</f>
        <v>0.25416666666666665</v>
      </c>
      <c r="J1457" s="41">
        <f>IFERROR(VLOOKUP(TA[[#This Row],[Date]],Raw_Data[[Date]:[Sunset Time (POA&lt;20 W/m2)]],4,0),"")</f>
        <v>0.78680555555555554</v>
      </c>
      <c r="K1457" s="35">
        <f>IFERROR((TA[[#This Row],[Sunset Time (POA&lt;20 W/m2)]]-TA[[#This Row],[Sunrise Time (POA&gt;20 W/m2)]])*24,"")</f>
        <v>12.783333333333333</v>
      </c>
      <c r="L1457" s="2" t="s">
        <v>296</v>
      </c>
      <c r="M1457" s="42">
        <f>IFERROR(VLOOKUP(TA[[#This Row],[Affected Equipment]],'Basic Data'!$I$2:$K$40,3,0),"")</f>
        <v>8.6206896551724102E-3</v>
      </c>
      <c r="N1457">
        <v>-28</v>
      </c>
      <c r="O1457" t="s">
        <v>134</v>
      </c>
      <c r="P1457" s="22" t="s">
        <v>330</v>
      </c>
      <c r="Q1457" s="2" t="s">
        <v>323</v>
      </c>
      <c r="R1457">
        <v>31</v>
      </c>
      <c r="S1457" s="2">
        <v>61</v>
      </c>
      <c r="T1457" t="s">
        <v>297</v>
      </c>
      <c r="U1457" t="s">
        <v>300</v>
      </c>
      <c r="V1457" t="s">
        <v>301</v>
      </c>
      <c r="W1457" s="41"/>
      <c r="X1457" s="41"/>
      <c r="Y1457" s="34"/>
      <c r="Z1457" s="34"/>
      <c r="AA1457" s="35">
        <f>IF(TA[[#This Row],[Work Start time on Fault]]="NA","",(TA[[#This Row],[Fault Acknowledgement Time ]]-TA[[#This Row],[Fault Time]])*24)</f>
        <v>0</v>
      </c>
      <c r="AB1457" s="35">
        <f>(TA[[#This Row],[Work Start time on Fault]]-TA[[#This Row],[Fault Time]])*24</f>
        <v>0</v>
      </c>
      <c r="AC1457" s="34">
        <f>(TA[[#This Row],[Work Completion time on fault]]-TA[[#This Row],[Fault Time]])*24</f>
        <v>0</v>
      </c>
      <c r="AD1457" s="35">
        <f>IFERROR((TA[[#This Row],[Work Completion time on fault]]-TA[[#This Row],[Fault Time]])*24,"")</f>
        <v>0</v>
      </c>
      <c r="AE1457" t="s">
        <v>328</v>
      </c>
      <c r="AF1457" t="s">
        <v>256</v>
      </c>
      <c r="AG1457" s="2"/>
      <c r="AH1457" s="44">
        <f>1-COS(RADIANS(TA[[#This Row],[Avg. Target Angle during Fault Time (Radians)]]-TA[[#This Row],[Angle of affected equipment ]]))</f>
        <v>0.11705240714107301</v>
      </c>
      <c r="AI1457" s="35">
        <f>IFERROR(TA[[#This Row],[Breakdown Time]]*TA[[#This Row],[Plant Equivalent Weightage]],"")</f>
        <v>0</v>
      </c>
    </row>
    <row r="1458" spans="1:35">
      <c r="A1458" s="2">
        <f t="shared" si="176"/>
        <v>1455</v>
      </c>
      <c r="B1458" s="156">
        <f t="shared" si="174"/>
        <v>2026</v>
      </c>
      <c r="C1458" s="129">
        <f t="shared" si="175"/>
        <v>2025</v>
      </c>
      <c r="D1458" s="2" t="s">
        <v>155</v>
      </c>
      <c r="E1458" s="2" t="s">
        <v>155</v>
      </c>
      <c r="F1458" s="39">
        <v>45839</v>
      </c>
      <c r="G1458" s="2">
        <f>DAY(EOMONTH(TA[[#This Row],[Month Year]],0))</f>
        <v>31</v>
      </c>
      <c r="H1458" s="21">
        <v>45848</v>
      </c>
      <c r="I1458" s="41">
        <f>IFERROR(VLOOKUP(TA[[#This Row],[Date]],Raw_Data[[Date]:[Sunset Time (POA&lt;20 W/m2)]],3,0),"")</f>
        <v>0.25416666666666665</v>
      </c>
      <c r="J1458" s="41">
        <f>IFERROR(VLOOKUP(TA[[#This Row],[Date]],Raw_Data[[Date]:[Sunset Time (POA&lt;20 W/m2)]],4,0),"")</f>
        <v>0.78680555555555554</v>
      </c>
      <c r="K1458" s="35">
        <f>IFERROR((TA[[#This Row],[Sunset Time (POA&lt;20 W/m2)]]-TA[[#This Row],[Sunrise Time (POA&gt;20 W/m2)]])*24,"")</f>
        <v>12.783333333333333</v>
      </c>
      <c r="L1458" s="2" t="s">
        <v>312</v>
      </c>
      <c r="M1458" s="42">
        <f>IFERROR(VLOOKUP(TA[[#This Row],[Affected Equipment]],'Basic Data'!$I$2:$K$40,3,0),"")</f>
        <v>5.74712643678161E-3</v>
      </c>
      <c r="N1458">
        <v>-28</v>
      </c>
      <c r="O1458" t="s">
        <v>133</v>
      </c>
      <c r="P1458" s="22" t="s">
        <v>330</v>
      </c>
      <c r="Q1458" s="2" t="s">
        <v>323</v>
      </c>
      <c r="R1458">
        <v>26</v>
      </c>
      <c r="S1458" s="2">
        <v>37</v>
      </c>
      <c r="T1458" t="s">
        <v>297</v>
      </c>
      <c r="U1458" t="s">
        <v>300</v>
      </c>
      <c r="V1458" t="s">
        <v>301</v>
      </c>
      <c r="W1458" s="41"/>
      <c r="X1458" s="41"/>
      <c r="Y1458" s="34"/>
      <c r="Z1458" s="34"/>
      <c r="AA1458" s="35">
        <f>IF(TA[[#This Row],[Work Start time on Fault]]="NA","",(TA[[#This Row],[Fault Acknowledgement Time ]]-TA[[#This Row],[Fault Time]])*24)</f>
        <v>0</v>
      </c>
      <c r="AB1458" s="35">
        <f>(TA[[#This Row],[Work Start time on Fault]]-TA[[#This Row],[Fault Time]])*24</f>
        <v>0</v>
      </c>
      <c r="AC1458" s="34">
        <f>(TA[[#This Row],[Work Completion time on fault]]-TA[[#This Row],[Fault Time]])*24</f>
        <v>0</v>
      </c>
      <c r="AD1458" s="35">
        <f>IFERROR((TA[[#This Row],[Work Completion time on fault]]-TA[[#This Row],[Fault Time]])*24,"")</f>
        <v>0</v>
      </c>
      <c r="AE1458" t="s">
        <v>328</v>
      </c>
      <c r="AF1458" t="s">
        <v>256</v>
      </c>
      <c r="AG1458" s="2"/>
      <c r="AH1458" s="44">
        <f>1-COS(RADIANS(TA[[#This Row],[Avg. Target Angle during Fault Time (Radians)]]-TA[[#This Row],[Angle of affected equipment ]]))</f>
        <v>0.11705240714107301</v>
      </c>
      <c r="AI1458" s="35">
        <f>IFERROR(TA[[#This Row],[Breakdown Time]]*TA[[#This Row],[Plant Equivalent Weightage]],"")</f>
        <v>0</v>
      </c>
    </row>
    <row r="1459" spans="1:35">
      <c r="A1459" s="2">
        <f t="shared" si="176"/>
        <v>1456</v>
      </c>
      <c r="B1459" s="156">
        <f t="shared" si="174"/>
        <v>2026</v>
      </c>
      <c r="C1459" s="129">
        <f t="shared" si="175"/>
        <v>2025</v>
      </c>
      <c r="D1459" s="2" t="s">
        <v>155</v>
      </c>
      <c r="E1459" s="2" t="s">
        <v>155</v>
      </c>
      <c r="F1459" s="39">
        <v>45839</v>
      </c>
      <c r="G1459" s="2">
        <f>DAY(EOMONTH(TA[[#This Row],[Month Year]],0))</f>
        <v>31</v>
      </c>
      <c r="H1459" s="21">
        <v>45848</v>
      </c>
      <c r="I1459" s="41">
        <f>IFERROR(VLOOKUP(TA[[#This Row],[Date]],Raw_Data[[Date]:[Sunset Time (POA&lt;20 W/m2)]],3,0),"")</f>
        <v>0.25416666666666665</v>
      </c>
      <c r="J1459" s="41">
        <f>IFERROR(VLOOKUP(TA[[#This Row],[Date]],Raw_Data[[Date]:[Sunset Time (POA&lt;20 W/m2)]],4,0),"")</f>
        <v>0.78680555555555554</v>
      </c>
      <c r="K1459" s="35">
        <f>IFERROR((TA[[#This Row],[Sunset Time (POA&lt;20 W/m2)]]-TA[[#This Row],[Sunrise Time (POA&gt;20 W/m2)]])*24,"")</f>
        <v>12.783333333333333</v>
      </c>
      <c r="L1459" s="2" t="s">
        <v>312</v>
      </c>
      <c r="M1459" s="42">
        <f>IFERROR(VLOOKUP(TA[[#This Row],[Affected Equipment]],'Basic Data'!$I$2:$K$40,3,0),"")</f>
        <v>5.74712643678161E-3</v>
      </c>
      <c r="N1459">
        <v>-28</v>
      </c>
      <c r="O1459" t="s">
        <v>133</v>
      </c>
      <c r="P1459" s="22" t="s">
        <v>330</v>
      </c>
      <c r="Q1459" s="2" t="s">
        <v>323</v>
      </c>
      <c r="R1459">
        <v>27</v>
      </c>
      <c r="S1459" s="2">
        <v>42</v>
      </c>
      <c r="T1459" t="s">
        <v>297</v>
      </c>
      <c r="U1459" t="s">
        <v>300</v>
      </c>
      <c r="V1459" t="s">
        <v>301</v>
      </c>
      <c r="W1459" s="41">
        <f>IFERROR(VLOOKUP(TA[[#This Row],[Date]],Raw_Data[[Date]:[Sunset Time (POA&lt;20 W/m2)]],3,0),"")</f>
        <v>0.25416666666666665</v>
      </c>
      <c r="X1459" s="41">
        <f>IFERROR(VLOOKUP(TA[[#This Row],[Date]],Raw_Data[[Date]:[Sunset Time (POA&lt;20 W/m2)]],3,0),"")</f>
        <v>0.25416666666666665</v>
      </c>
      <c r="Y1459" s="34"/>
      <c r="Z1459" s="34">
        <v>0.76041666666666663</v>
      </c>
      <c r="AA1459" s="35">
        <f>IF(TA[[#This Row],[Work Start time on Fault]]="NA","",(TA[[#This Row],[Fault Acknowledgement Time ]]-TA[[#This Row],[Fault Time]])*24)</f>
        <v>0</v>
      </c>
      <c r="AB1459" s="35">
        <f>(TA[[#This Row],[Work Start time on Fault]]-TA[[#This Row],[Fault Time]])*24</f>
        <v>-6.1</v>
      </c>
      <c r="AC1459" s="34">
        <f>(TA[[#This Row],[Work Completion time on fault]]-TA[[#This Row],[Fault Time]])*24</f>
        <v>12.149999999999999</v>
      </c>
      <c r="AD1459" s="35">
        <f>IFERROR((TA[[#This Row],[Work Completion time on fault]]-TA[[#This Row],[Fault Time]])*24,"")</f>
        <v>12.149999999999999</v>
      </c>
      <c r="AE1459" t="s">
        <v>309</v>
      </c>
      <c r="AF1459" t="s">
        <v>256</v>
      </c>
      <c r="AG1459" s="2"/>
      <c r="AH1459" s="44">
        <f>1-COS(RADIANS(TA[[#This Row],[Avg. Target Angle during Fault Time (Radians)]]-TA[[#This Row],[Angle of affected equipment ]]))</f>
        <v>0.11705240714107301</v>
      </c>
      <c r="AI1459" s="35">
        <f>IFERROR(TA[[#This Row],[Breakdown Time]]*TA[[#This Row],[Plant Equivalent Weightage]],"")</f>
        <v>6.9827586206896552E-2</v>
      </c>
    </row>
    <row r="1460" spans="1:35">
      <c r="A1460" s="2">
        <f t="shared" si="176"/>
        <v>1457</v>
      </c>
      <c r="B1460" s="156">
        <f t="shared" ref="B1460:B1472" si="177">YEAR(H1460)+IF(MONTH(H1460)&gt;=4,1,0)</f>
        <v>2026</v>
      </c>
      <c r="C1460" s="129">
        <f t="shared" ref="C1460:C1472" si="178">YEAR(H1460)</f>
        <v>2025</v>
      </c>
      <c r="D1460" s="2" t="s">
        <v>155</v>
      </c>
      <c r="E1460" s="2" t="s">
        <v>155</v>
      </c>
      <c r="F1460" s="39">
        <v>45839</v>
      </c>
      <c r="G1460" s="2">
        <f>DAY(EOMONTH(TA[[#This Row],[Month Year]],0))</f>
        <v>31</v>
      </c>
      <c r="H1460" s="21">
        <v>45849</v>
      </c>
      <c r="I1460" s="41">
        <f>IFERROR(VLOOKUP(TA[[#This Row],[Date]],Raw_Data[[Date]:[Sunset Time (POA&lt;20 W/m2)]],3,0),"")</f>
        <v>0.25486111111111109</v>
      </c>
      <c r="J1460" s="41">
        <f>IFERROR(VLOOKUP(TA[[#This Row],[Date]],Raw_Data[[Date]:[Sunset Time (POA&lt;20 W/m2)]],4,0),"")</f>
        <v>0.77777777777777779</v>
      </c>
      <c r="K1460" s="35">
        <f>IFERROR((TA[[#This Row],[Sunset Time (POA&lt;20 W/m2)]]-TA[[#This Row],[Sunrise Time (POA&gt;20 W/m2)]])*24,"")</f>
        <v>12.55</v>
      </c>
      <c r="L1460" s="2" t="s">
        <v>294</v>
      </c>
      <c r="M1460" s="42">
        <f>IFERROR(VLOOKUP(TA[[#This Row],[Affected Equipment]],'Basic Data'!$I$2:$K$40,3,0),"")</f>
        <v>1.7241379310344799E-3</v>
      </c>
      <c r="N1460">
        <v>-28</v>
      </c>
      <c r="O1460" t="s">
        <v>135</v>
      </c>
      <c r="P1460" s="127" t="s">
        <v>318</v>
      </c>
      <c r="Q1460" s="126" t="s">
        <v>318</v>
      </c>
      <c r="R1460">
        <v>131</v>
      </c>
      <c r="S1460" s="2">
        <v>38</v>
      </c>
      <c r="T1460" t="s">
        <v>295</v>
      </c>
      <c r="U1460" t="s">
        <v>300</v>
      </c>
      <c r="V1460" t="s">
        <v>298</v>
      </c>
      <c r="W1460" s="41"/>
      <c r="X1460" s="41"/>
      <c r="Y1460" s="34"/>
      <c r="Z1460" s="34"/>
      <c r="AA1460" s="35">
        <f>IF(TA[[#This Row],[Work Start time on Fault]]="NA","",(TA[[#This Row],[Fault Acknowledgement Time ]]-TA[[#This Row],[Fault Time]])*24)</f>
        <v>0</v>
      </c>
      <c r="AB1460" s="35">
        <f>(TA[[#This Row],[Work Start time on Fault]]-TA[[#This Row],[Fault Time]])*24</f>
        <v>0</v>
      </c>
      <c r="AC1460" s="34">
        <f>(TA[[#This Row],[Work Completion time on fault]]-TA[[#This Row],[Fault Time]])*24</f>
        <v>0</v>
      </c>
      <c r="AD1460" s="35">
        <f>IFERROR((TA[[#This Row],[Work Completion time on fault]]-TA[[#This Row],[Fault Time]])*24,"")</f>
        <v>0</v>
      </c>
      <c r="AE1460" t="s">
        <v>328</v>
      </c>
      <c r="AF1460" t="s">
        <v>256</v>
      </c>
      <c r="AG1460" s="2"/>
      <c r="AH1460" s="44">
        <f>1-COS(RADIANS(TA[[#This Row],[Avg. Target Angle during Fault Time (Radians)]]-TA[[#This Row],[Angle of affected equipment ]]))</f>
        <v>0.11705240714107301</v>
      </c>
      <c r="AI1460" s="35">
        <f>IFERROR(TA[[#This Row],[Breakdown Time]]*TA[[#This Row],[Plant Equivalent Weightage]],"")</f>
        <v>0</v>
      </c>
    </row>
    <row r="1461" spans="1:35">
      <c r="A1461" s="2">
        <f t="shared" si="176"/>
        <v>1458</v>
      </c>
      <c r="B1461" s="156">
        <f t="shared" si="177"/>
        <v>2026</v>
      </c>
      <c r="C1461" s="129">
        <f t="shared" si="178"/>
        <v>2025</v>
      </c>
      <c r="D1461" s="2" t="s">
        <v>155</v>
      </c>
      <c r="E1461" s="2" t="s">
        <v>155</v>
      </c>
      <c r="F1461" s="39">
        <v>45839</v>
      </c>
      <c r="G1461" s="2">
        <f>DAY(EOMONTH(TA[[#This Row],[Month Year]],0))</f>
        <v>31</v>
      </c>
      <c r="H1461" s="21">
        <v>45849</v>
      </c>
      <c r="I1461" s="41">
        <f>IFERROR(VLOOKUP(TA[[#This Row],[Date]],Raw_Data[[Date]:[Sunset Time (POA&lt;20 W/m2)]],3,0),"")</f>
        <v>0.25486111111111109</v>
      </c>
      <c r="J1461" s="41">
        <f>IFERROR(VLOOKUP(TA[[#This Row],[Date]],Raw_Data[[Date]:[Sunset Time (POA&lt;20 W/m2)]],4,0),"")</f>
        <v>0.77777777777777779</v>
      </c>
      <c r="K1461" s="35">
        <f>IFERROR((TA[[#This Row],[Sunset Time (POA&lt;20 W/m2)]]-TA[[#This Row],[Sunrise Time (POA&gt;20 W/m2)]])*24,"")</f>
        <v>12.55</v>
      </c>
      <c r="L1461" s="2" t="s">
        <v>294</v>
      </c>
      <c r="M1461" s="42">
        <f>IFERROR(VLOOKUP(TA[[#This Row],[Affected Equipment]],'Basic Data'!$I$2:$K$40,3,0),"")</f>
        <v>1.7241379310344799E-3</v>
      </c>
      <c r="N1461">
        <v>-28</v>
      </c>
      <c r="O1461" t="s">
        <v>135</v>
      </c>
      <c r="P1461" s="127" t="s">
        <v>318</v>
      </c>
      <c r="Q1461" s="126" t="s">
        <v>318</v>
      </c>
      <c r="R1461">
        <v>131</v>
      </c>
      <c r="S1461" s="2">
        <v>39</v>
      </c>
      <c r="T1461" t="s">
        <v>295</v>
      </c>
      <c r="U1461" t="s">
        <v>300</v>
      </c>
      <c r="V1461" t="s">
        <v>298</v>
      </c>
      <c r="W1461" s="41"/>
      <c r="X1461" s="41"/>
      <c r="Y1461" s="34"/>
      <c r="Z1461" s="34"/>
      <c r="AA1461" s="35">
        <f>IF(TA[[#This Row],[Work Start time on Fault]]="NA","",(TA[[#This Row],[Fault Acknowledgement Time ]]-TA[[#This Row],[Fault Time]])*24)</f>
        <v>0</v>
      </c>
      <c r="AB1461" s="35">
        <f>(TA[[#This Row],[Work Start time on Fault]]-TA[[#This Row],[Fault Time]])*24</f>
        <v>0</v>
      </c>
      <c r="AC1461" s="34">
        <f>(TA[[#This Row],[Work Completion time on fault]]-TA[[#This Row],[Fault Time]])*24</f>
        <v>0</v>
      </c>
      <c r="AD1461" s="35">
        <f>IFERROR((TA[[#This Row],[Work Completion time on fault]]-TA[[#This Row],[Fault Time]])*24,"")</f>
        <v>0</v>
      </c>
      <c r="AE1461" t="s">
        <v>328</v>
      </c>
      <c r="AF1461" t="s">
        <v>256</v>
      </c>
      <c r="AG1461" s="2"/>
      <c r="AH1461" s="44">
        <f>1-COS(RADIANS(TA[[#This Row],[Avg. Target Angle during Fault Time (Radians)]]-TA[[#This Row],[Angle of affected equipment ]]))</f>
        <v>0.11705240714107301</v>
      </c>
      <c r="AI1461" s="35">
        <f>IFERROR(TA[[#This Row],[Breakdown Time]]*TA[[#This Row],[Plant Equivalent Weightage]],"")</f>
        <v>0</v>
      </c>
    </row>
    <row r="1462" spans="1:35">
      <c r="A1462" s="2">
        <f t="shared" si="176"/>
        <v>1459</v>
      </c>
      <c r="B1462" s="156">
        <f t="shared" si="177"/>
        <v>2026</v>
      </c>
      <c r="C1462" s="129">
        <f t="shared" si="178"/>
        <v>2025</v>
      </c>
      <c r="D1462" s="2" t="s">
        <v>155</v>
      </c>
      <c r="E1462" s="2" t="s">
        <v>155</v>
      </c>
      <c r="F1462" s="39">
        <v>45839</v>
      </c>
      <c r="G1462" s="2">
        <f>DAY(EOMONTH(TA[[#This Row],[Month Year]],0))</f>
        <v>31</v>
      </c>
      <c r="H1462" s="21">
        <v>45849</v>
      </c>
      <c r="I1462" s="41">
        <f>IFERROR(VLOOKUP(TA[[#This Row],[Date]],Raw_Data[[Date]:[Sunset Time (POA&lt;20 W/m2)]],3,0),"")</f>
        <v>0.25486111111111109</v>
      </c>
      <c r="J1462" s="41">
        <f>IFERROR(VLOOKUP(TA[[#This Row],[Date]],Raw_Data[[Date]:[Sunset Time (POA&lt;20 W/m2)]],4,0),"")</f>
        <v>0.77777777777777779</v>
      </c>
      <c r="K1462" s="35">
        <f>IFERROR((TA[[#This Row],[Sunset Time (POA&lt;20 W/m2)]]-TA[[#This Row],[Sunrise Time (POA&gt;20 W/m2)]])*24,"")</f>
        <v>12.55</v>
      </c>
      <c r="L1462" s="2" t="s">
        <v>296</v>
      </c>
      <c r="M1462" s="42">
        <f>IFERROR(VLOOKUP(TA[[#This Row],[Affected Equipment]],'Basic Data'!$I$2:$K$40,3,0),"")</f>
        <v>8.6206896551724102E-3</v>
      </c>
      <c r="N1462">
        <v>-28</v>
      </c>
      <c r="O1462" t="s">
        <v>135</v>
      </c>
      <c r="P1462" s="127" t="s">
        <v>318</v>
      </c>
      <c r="Q1462" s="2" t="s">
        <v>321</v>
      </c>
      <c r="R1462">
        <v>133</v>
      </c>
      <c r="S1462" s="2">
        <v>26</v>
      </c>
      <c r="T1462" t="s">
        <v>297</v>
      </c>
      <c r="U1462" t="s">
        <v>300</v>
      </c>
      <c r="V1462" t="s">
        <v>314</v>
      </c>
      <c r="W1462" s="41">
        <f>IFERROR(VLOOKUP(TA[[#This Row],[Date]],Raw_Data[[Date]:[Sunset Time (POA&lt;20 W/m2)]],3,0),"")</f>
        <v>0.25486111111111109</v>
      </c>
      <c r="X1462" s="41">
        <f>IFERROR(VLOOKUP(TA[[#This Row],[Date]],Raw_Data[[Date]:[Sunset Time (POA&lt;20 W/m2)]],3,0),"")</f>
        <v>0.25486111111111109</v>
      </c>
      <c r="Y1462" s="34"/>
      <c r="Z1462" s="34">
        <v>0.76041666666666663</v>
      </c>
      <c r="AA1462" s="35">
        <f>IF(TA[[#This Row],[Work Start time on Fault]]="NA","",(TA[[#This Row],[Fault Acknowledgement Time ]]-TA[[#This Row],[Fault Time]])*24)</f>
        <v>0</v>
      </c>
      <c r="AB1462" s="35">
        <f>(TA[[#This Row],[Work Start time on Fault]]-TA[[#This Row],[Fault Time]])*24</f>
        <v>-6.1166666666666663</v>
      </c>
      <c r="AC1462" s="34">
        <f>(TA[[#This Row],[Work Completion time on fault]]-TA[[#This Row],[Fault Time]])*24</f>
        <v>12.133333333333333</v>
      </c>
      <c r="AD1462" s="35">
        <f>IFERROR((TA[[#This Row],[Work Completion time on fault]]-TA[[#This Row],[Fault Time]])*24,"")</f>
        <v>12.133333333333333</v>
      </c>
      <c r="AE1462" t="s">
        <v>328</v>
      </c>
      <c r="AF1462" t="s">
        <v>256</v>
      </c>
      <c r="AG1462" s="2"/>
      <c r="AH1462" s="44">
        <f>1-COS(RADIANS(TA[[#This Row],[Avg. Target Angle during Fault Time (Radians)]]-TA[[#This Row],[Angle of affected equipment ]]))</f>
        <v>0.11705240714107301</v>
      </c>
      <c r="AI1462" s="35">
        <f>IFERROR(TA[[#This Row],[Breakdown Time]]*TA[[#This Row],[Plant Equivalent Weightage]],"")</f>
        <v>0.10459770114942524</v>
      </c>
    </row>
    <row r="1463" spans="1:35">
      <c r="A1463" s="2">
        <f t="shared" si="176"/>
        <v>1460</v>
      </c>
      <c r="B1463" s="156">
        <f t="shared" si="177"/>
        <v>2026</v>
      </c>
      <c r="C1463" s="129">
        <f t="shared" si="178"/>
        <v>2025</v>
      </c>
      <c r="D1463" s="2" t="s">
        <v>155</v>
      </c>
      <c r="E1463" s="2" t="s">
        <v>155</v>
      </c>
      <c r="F1463" s="39">
        <v>45839</v>
      </c>
      <c r="G1463" s="2">
        <f>DAY(EOMONTH(TA[[#This Row],[Month Year]],0))</f>
        <v>31</v>
      </c>
      <c r="H1463" s="21">
        <v>45849</v>
      </c>
      <c r="I1463" s="41">
        <f>IFERROR(VLOOKUP(TA[[#This Row],[Date]],Raw_Data[[Date]:[Sunset Time (POA&lt;20 W/m2)]],3,0),"")</f>
        <v>0.25486111111111109</v>
      </c>
      <c r="J1463" s="41">
        <f>IFERROR(VLOOKUP(TA[[#This Row],[Date]],Raw_Data[[Date]:[Sunset Time (POA&lt;20 W/m2)]],4,0),"")</f>
        <v>0.77777777777777779</v>
      </c>
      <c r="K1463" s="35">
        <f>IFERROR((TA[[#This Row],[Sunset Time (POA&lt;20 W/m2)]]-TA[[#This Row],[Sunrise Time (POA&gt;20 W/m2)]])*24,"")</f>
        <v>12.55</v>
      </c>
      <c r="L1463" s="2" t="s">
        <v>294</v>
      </c>
      <c r="M1463" s="42">
        <f>IFERROR(VLOOKUP(TA[[#This Row],[Affected Equipment]],'Basic Data'!$I$2:$K$40,3,0),"")</f>
        <v>1.7241379310344799E-3</v>
      </c>
      <c r="N1463">
        <v>-28</v>
      </c>
      <c r="O1463" t="s">
        <v>133</v>
      </c>
      <c r="P1463" s="127" t="s">
        <v>316</v>
      </c>
      <c r="Q1463" s="126" t="s">
        <v>317</v>
      </c>
      <c r="R1463">
        <v>7</v>
      </c>
      <c r="S1463" s="2">
        <v>32</v>
      </c>
      <c r="T1463" t="s">
        <v>295</v>
      </c>
      <c r="U1463" t="s">
        <v>300</v>
      </c>
      <c r="V1463" t="s">
        <v>298</v>
      </c>
      <c r="W1463" s="41"/>
      <c r="X1463" s="41"/>
      <c r="Y1463" s="34"/>
      <c r="Z1463" s="34"/>
      <c r="AA1463" s="35">
        <f>IF(TA[[#This Row],[Work Start time on Fault]]="NA","",(TA[[#This Row],[Fault Acknowledgement Time ]]-TA[[#This Row],[Fault Time]])*24)</f>
        <v>0</v>
      </c>
      <c r="AB1463" s="35">
        <f>(TA[[#This Row],[Work Start time on Fault]]-TA[[#This Row],[Fault Time]])*24</f>
        <v>0</v>
      </c>
      <c r="AC1463" s="34">
        <f>(TA[[#This Row],[Work Completion time on fault]]-TA[[#This Row],[Fault Time]])*24</f>
        <v>0</v>
      </c>
      <c r="AD1463" s="35">
        <f>IFERROR((TA[[#This Row],[Work Completion time on fault]]-TA[[#This Row],[Fault Time]])*24,"")</f>
        <v>0</v>
      </c>
      <c r="AE1463" t="s">
        <v>328</v>
      </c>
      <c r="AF1463" t="s">
        <v>256</v>
      </c>
      <c r="AG1463" s="2"/>
      <c r="AH1463" s="44">
        <f>1-COS(RADIANS(TA[[#This Row],[Avg. Target Angle during Fault Time (Radians)]]-TA[[#This Row],[Angle of affected equipment ]]))</f>
        <v>0.11705240714107301</v>
      </c>
      <c r="AI1463" s="35">
        <f>IFERROR(TA[[#This Row],[Breakdown Time]]*TA[[#This Row],[Plant Equivalent Weightage]],"")</f>
        <v>0</v>
      </c>
    </row>
    <row r="1464" spans="1:35">
      <c r="A1464" s="2">
        <f t="shared" si="176"/>
        <v>1461</v>
      </c>
      <c r="B1464" s="156">
        <f t="shared" si="177"/>
        <v>2026</v>
      </c>
      <c r="C1464" s="129">
        <f t="shared" si="178"/>
        <v>2025</v>
      </c>
      <c r="D1464" s="2" t="s">
        <v>155</v>
      </c>
      <c r="E1464" s="2" t="s">
        <v>155</v>
      </c>
      <c r="F1464" s="39">
        <v>45839</v>
      </c>
      <c r="G1464" s="2">
        <f>DAY(EOMONTH(TA[[#This Row],[Month Year]],0))</f>
        <v>31</v>
      </c>
      <c r="H1464" s="21">
        <v>45849</v>
      </c>
      <c r="I1464" s="41">
        <f>IFERROR(VLOOKUP(TA[[#This Row],[Date]],Raw_Data[[Date]:[Sunset Time (POA&lt;20 W/m2)]],3,0),"")</f>
        <v>0.25486111111111109</v>
      </c>
      <c r="J1464" s="41">
        <f>IFERROR(VLOOKUP(TA[[#This Row],[Date]],Raw_Data[[Date]:[Sunset Time (POA&lt;20 W/m2)]],4,0),"")</f>
        <v>0.77777777777777779</v>
      </c>
      <c r="K1464" s="35">
        <f>IFERROR((TA[[#This Row],[Sunset Time (POA&lt;20 W/m2)]]-TA[[#This Row],[Sunrise Time (POA&gt;20 W/m2)]])*24,"")</f>
        <v>12.55</v>
      </c>
      <c r="L1464" s="2" t="s">
        <v>294</v>
      </c>
      <c r="M1464" s="42">
        <f>IFERROR(VLOOKUP(TA[[#This Row],[Affected Equipment]],'Basic Data'!$I$2:$K$40,3,0),"")</f>
        <v>1.7241379310344799E-3</v>
      </c>
      <c r="N1464">
        <v>-28</v>
      </c>
      <c r="O1464" t="s">
        <v>137</v>
      </c>
      <c r="P1464" s="127" t="s">
        <v>315</v>
      </c>
      <c r="Q1464" s="126" t="s">
        <v>319</v>
      </c>
      <c r="R1464">
        <v>166</v>
      </c>
      <c r="S1464" s="2">
        <v>91</v>
      </c>
      <c r="T1464" t="s">
        <v>295</v>
      </c>
      <c r="U1464" t="s">
        <v>300</v>
      </c>
      <c r="V1464" t="s">
        <v>298</v>
      </c>
      <c r="W1464" s="41"/>
      <c r="X1464" s="41"/>
      <c r="Y1464" s="34"/>
      <c r="Z1464" s="34"/>
      <c r="AA1464" s="35">
        <f>IF(TA[[#This Row],[Work Start time on Fault]]="NA","",(TA[[#This Row],[Fault Acknowledgement Time ]]-TA[[#This Row],[Fault Time]])*24)</f>
        <v>0</v>
      </c>
      <c r="AB1464" s="35">
        <f>(TA[[#This Row],[Work Start time on Fault]]-TA[[#This Row],[Fault Time]])*24</f>
        <v>0</v>
      </c>
      <c r="AC1464" s="34">
        <f>(TA[[#This Row],[Work Completion time on fault]]-TA[[#This Row],[Fault Time]])*24</f>
        <v>0</v>
      </c>
      <c r="AD1464" s="35">
        <f>IFERROR((TA[[#This Row],[Work Completion time on fault]]-TA[[#This Row],[Fault Time]])*24,"")</f>
        <v>0</v>
      </c>
      <c r="AE1464" t="s">
        <v>328</v>
      </c>
      <c r="AF1464" t="s">
        <v>256</v>
      </c>
      <c r="AG1464" s="2"/>
      <c r="AH1464" s="44">
        <f>1-COS(RADIANS(TA[[#This Row],[Avg. Target Angle during Fault Time (Radians)]]-TA[[#This Row],[Angle of affected equipment ]]))</f>
        <v>0.11705240714107301</v>
      </c>
      <c r="AI1464" s="35">
        <f>IFERROR(TA[[#This Row],[Breakdown Time]]*TA[[#This Row],[Plant Equivalent Weightage]],"")</f>
        <v>0</v>
      </c>
    </row>
    <row r="1465" spans="1:35">
      <c r="A1465" s="2">
        <f t="shared" si="176"/>
        <v>1462</v>
      </c>
      <c r="B1465" s="156">
        <f t="shared" si="177"/>
        <v>2026</v>
      </c>
      <c r="C1465" s="129">
        <f t="shared" si="178"/>
        <v>2025</v>
      </c>
      <c r="D1465" s="2" t="s">
        <v>155</v>
      </c>
      <c r="E1465" s="2" t="s">
        <v>155</v>
      </c>
      <c r="F1465" s="39">
        <v>45839</v>
      </c>
      <c r="G1465" s="2">
        <f>DAY(EOMONTH(TA[[#This Row],[Month Year]],0))</f>
        <v>31</v>
      </c>
      <c r="H1465" s="21">
        <v>45849</v>
      </c>
      <c r="I1465" s="41">
        <f>IFERROR(VLOOKUP(TA[[#This Row],[Date]],Raw_Data[[Date]:[Sunset Time (POA&lt;20 W/m2)]],3,0),"")</f>
        <v>0.25486111111111109</v>
      </c>
      <c r="J1465" s="41">
        <f>IFERROR(VLOOKUP(TA[[#This Row],[Date]],Raw_Data[[Date]:[Sunset Time (POA&lt;20 W/m2)]],4,0),"")</f>
        <v>0.77777777777777779</v>
      </c>
      <c r="K1465" s="35">
        <f>IFERROR((TA[[#This Row],[Sunset Time (POA&lt;20 W/m2)]]-TA[[#This Row],[Sunrise Time (POA&gt;20 W/m2)]])*24,"")</f>
        <v>12.55</v>
      </c>
      <c r="L1465" s="2" t="s">
        <v>294</v>
      </c>
      <c r="M1465" s="42">
        <f>IFERROR(VLOOKUP(TA[[#This Row],[Affected Equipment]],'Basic Data'!$I$2:$K$40,3,0),"")</f>
        <v>1.7241379310344799E-3</v>
      </c>
      <c r="N1465">
        <v>-28</v>
      </c>
      <c r="O1465" t="s">
        <v>133</v>
      </c>
      <c r="P1465" s="127" t="s">
        <v>316</v>
      </c>
      <c r="Q1465" s="126" t="s">
        <v>316</v>
      </c>
      <c r="R1465">
        <v>117</v>
      </c>
      <c r="S1465" s="2">
        <v>20</v>
      </c>
      <c r="T1465" t="s">
        <v>295</v>
      </c>
      <c r="U1465" t="s">
        <v>300</v>
      </c>
      <c r="V1465" t="s">
        <v>298</v>
      </c>
      <c r="W1465" s="41"/>
      <c r="X1465" s="41"/>
      <c r="Y1465" s="34"/>
      <c r="Z1465" s="34"/>
      <c r="AA1465" s="35">
        <f>IF(TA[[#This Row],[Work Start time on Fault]]="NA","",(TA[[#This Row],[Fault Acknowledgement Time ]]-TA[[#This Row],[Fault Time]])*24)</f>
        <v>0</v>
      </c>
      <c r="AB1465" s="35">
        <f>(TA[[#This Row],[Work Start time on Fault]]-TA[[#This Row],[Fault Time]])*24</f>
        <v>0</v>
      </c>
      <c r="AC1465" s="34">
        <f>(TA[[#This Row],[Work Completion time on fault]]-TA[[#This Row],[Fault Time]])*24</f>
        <v>0</v>
      </c>
      <c r="AD1465" s="35">
        <f>IFERROR((TA[[#This Row],[Work Completion time on fault]]-TA[[#This Row],[Fault Time]])*24,"")</f>
        <v>0</v>
      </c>
      <c r="AE1465" t="s">
        <v>328</v>
      </c>
      <c r="AF1465" t="s">
        <v>256</v>
      </c>
      <c r="AG1465" s="2"/>
      <c r="AH1465" s="44">
        <f>1-COS(RADIANS(TA[[#This Row],[Avg. Target Angle during Fault Time (Radians)]]-TA[[#This Row],[Angle of affected equipment ]]))</f>
        <v>0.11705240714107301</v>
      </c>
      <c r="AI1465" s="35">
        <f>IFERROR(TA[[#This Row],[Breakdown Time]]*TA[[#This Row],[Plant Equivalent Weightage]],"")</f>
        <v>0</v>
      </c>
    </row>
    <row r="1466" spans="1:35">
      <c r="A1466" s="2">
        <f t="shared" si="176"/>
        <v>1463</v>
      </c>
      <c r="B1466" s="156">
        <f t="shared" si="177"/>
        <v>2026</v>
      </c>
      <c r="C1466" s="129">
        <f t="shared" si="178"/>
        <v>2025</v>
      </c>
      <c r="D1466" s="2" t="s">
        <v>155</v>
      </c>
      <c r="E1466" s="2" t="s">
        <v>155</v>
      </c>
      <c r="F1466" s="39">
        <v>45839</v>
      </c>
      <c r="G1466" s="2">
        <f>DAY(EOMONTH(TA[[#This Row],[Month Year]],0))</f>
        <v>31</v>
      </c>
      <c r="H1466" s="21">
        <v>45849</v>
      </c>
      <c r="I1466" s="41">
        <f>IFERROR(VLOOKUP(TA[[#This Row],[Date]],Raw_Data[[Date]:[Sunset Time (POA&lt;20 W/m2)]],3,0),"")</f>
        <v>0.25486111111111109</v>
      </c>
      <c r="J1466" s="41">
        <f>IFERROR(VLOOKUP(TA[[#This Row],[Date]],Raw_Data[[Date]:[Sunset Time (POA&lt;20 W/m2)]],4,0),"")</f>
        <v>0.77777777777777779</v>
      </c>
      <c r="K1466" s="35">
        <f>IFERROR((TA[[#This Row],[Sunset Time (POA&lt;20 W/m2)]]-TA[[#This Row],[Sunrise Time (POA&gt;20 W/m2)]])*24,"")</f>
        <v>12.55</v>
      </c>
      <c r="L1466" s="2" t="s">
        <v>294</v>
      </c>
      <c r="M1466" s="42">
        <f>IFERROR(VLOOKUP(TA[[#This Row],[Affected Equipment]],'Basic Data'!$I$2:$K$40,3,0),"")</f>
        <v>1.7241379310344799E-3</v>
      </c>
      <c r="N1466">
        <v>-28</v>
      </c>
      <c r="O1466" t="s">
        <v>133</v>
      </c>
      <c r="P1466" s="127" t="s">
        <v>316</v>
      </c>
      <c r="Q1466" s="126" t="s">
        <v>316</v>
      </c>
      <c r="R1466">
        <v>118</v>
      </c>
      <c r="S1466" s="2">
        <v>22</v>
      </c>
      <c r="T1466" t="s">
        <v>295</v>
      </c>
      <c r="U1466" t="s">
        <v>300</v>
      </c>
      <c r="V1466" t="s">
        <v>298</v>
      </c>
      <c r="W1466" s="41"/>
      <c r="X1466" s="41"/>
      <c r="Y1466" s="34"/>
      <c r="Z1466" s="34"/>
      <c r="AA1466" s="35">
        <f>IF(TA[[#This Row],[Work Start time on Fault]]="NA","",(TA[[#This Row],[Fault Acknowledgement Time ]]-TA[[#This Row],[Fault Time]])*24)</f>
        <v>0</v>
      </c>
      <c r="AB1466" s="35">
        <f>(TA[[#This Row],[Work Start time on Fault]]-TA[[#This Row],[Fault Time]])*24</f>
        <v>0</v>
      </c>
      <c r="AC1466" s="34">
        <f>(TA[[#This Row],[Work Completion time on fault]]-TA[[#This Row],[Fault Time]])*24</f>
        <v>0</v>
      </c>
      <c r="AD1466" s="35">
        <f>IFERROR((TA[[#This Row],[Work Completion time on fault]]-TA[[#This Row],[Fault Time]])*24,"")</f>
        <v>0</v>
      </c>
      <c r="AE1466" t="s">
        <v>328</v>
      </c>
      <c r="AF1466" t="s">
        <v>256</v>
      </c>
      <c r="AG1466" s="2"/>
      <c r="AH1466" s="44">
        <f>1-COS(RADIANS(TA[[#This Row],[Avg. Target Angle during Fault Time (Radians)]]-TA[[#This Row],[Angle of affected equipment ]]))</f>
        <v>0.11705240714107301</v>
      </c>
      <c r="AI1466" s="35">
        <f>IFERROR(TA[[#This Row],[Breakdown Time]]*TA[[#This Row],[Plant Equivalent Weightage]],"")</f>
        <v>0</v>
      </c>
    </row>
    <row r="1467" spans="1:35">
      <c r="A1467" s="2">
        <f t="shared" si="176"/>
        <v>1464</v>
      </c>
      <c r="B1467" s="156">
        <f t="shared" si="177"/>
        <v>2026</v>
      </c>
      <c r="C1467" s="129">
        <f t="shared" si="178"/>
        <v>2025</v>
      </c>
      <c r="D1467" s="2" t="s">
        <v>155</v>
      </c>
      <c r="E1467" s="2" t="s">
        <v>155</v>
      </c>
      <c r="F1467" s="39">
        <v>45839</v>
      </c>
      <c r="G1467" s="2">
        <f>DAY(EOMONTH(TA[[#This Row],[Month Year]],0))</f>
        <v>31</v>
      </c>
      <c r="H1467" s="21">
        <v>45849</v>
      </c>
      <c r="I1467" s="41">
        <f>IFERROR(VLOOKUP(TA[[#This Row],[Date]],Raw_Data[[Date]:[Sunset Time (POA&lt;20 W/m2)]],3,0),"")</f>
        <v>0.25486111111111109</v>
      </c>
      <c r="J1467" s="41">
        <f>IFERROR(VLOOKUP(TA[[#This Row],[Date]],Raw_Data[[Date]:[Sunset Time (POA&lt;20 W/m2)]],4,0),"")</f>
        <v>0.77777777777777779</v>
      </c>
      <c r="K1467" s="35">
        <f>IFERROR((TA[[#This Row],[Sunset Time (POA&lt;20 W/m2)]]-TA[[#This Row],[Sunrise Time (POA&gt;20 W/m2)]])*24,"")</f>
        <v>12.55</v>
      </c>
      <c r="L1467" s="2" t="s">
        <v>296</v>
      </c>
      <c r="M1467" s="42">
        <f>IFERROR(VLOOKUP(TA[[#This Row],[Affected Equipment]],'Basic Data'!$I$2:$K$40,3,0),"")</f>
        <v>8.6206896551724102E-3</v>
      </c>
      <c r="N1467">
        <v>-28</v>
      </c>
      <c r="O1467" t="s">
        <v>135</v>
      </c>
      <c r="P1467" s="22" t="s">
        <v>323</v>
      </c>
      <c r="Q1467" s="2" t="s">
        <v>329</v>
      </c>
      <c r="R1467">
        <v>45</v>
      </c>
      <c r="S1467" s="2">
        <v>8</v>
      </c>
      <c r="T1467" t="s">
        <v>297</v>
      </c>
      <c r="U1467" t="s">
        <v>300</v>
      </c>
      <c r="V1467" t="s">
        <v>301</v>
      </c>
      <c r="W1467" s="41"/>
      <c r="X1467" s="41"/>
      <c r="Y1467" s="34"/>
      <c r="Z1467" s="34"/>
      <c r="AA1467" s="35">
        <f>IF(TA[[#This Row],[Work Start time on Fault]]="NA","",(TA[[#This Row],[Fault Acknowledgement Time ]]-TA[[#This Row],[Fault Time]])*24)</f>
        <v>0</v>
      </c>
      <c r="AB1467" s="35">
        <f>(TA[[#This Row],[Work Start time on Fault]]-TA[[#This Row],[Fault Time]])*24</f>
        <v>0</v>
      </c>
      <c r="AC1467" s="34">
        <f>(TA[[#This Row],[Work Completion time on fault]]-TA[[#This Row],[Fault Time]])*24</f>
        <v>0</v>
      </c>
      <c r="AD1467" s="35">
        <f>IFERROR((TA[[#This Row],[Work Completion time on fault]]-TA[[#This Row],[Fault Time]])*24,"")</f>
        <v>0</v>
      </c>
      <c r="AE1467" t="s">
        <v>328</v>
      </c>
      <c r="AF1467" t="s">
        <v>256</v>
      </c>
      <c r="AG1467" s="2"/>
      <c r="AH1467" s="44">
        <f>1-COS(RADIANS(TA[[#This Row],[Avg. Target Angle during Fault Time (Radians)]]-TA[[#This Row],[Angle of affected equipment ]]))</f>
        <v>0.11705240714107301</v>
      </c>
      <c r="AI1467" s="35">
        <f>IFERROR(TA[[#This Row],[Breakdown Time]]*TA[[#This Row],[Plant Equivalent Weightage]],"")</f>
        <v>0</v>
      </c>
    </row>
    <row r="1468" spans="1:35">
      <c r="A1468" s="2">
        <f t="shared" si="176"/>
        <v>1465</v>
      </c>
      <c r="B1468" s="156">
        <f t="shared" si="177"/>
        <v>2026</v>
      </c>
      <c r="C1468" s="129">
        <f t="shared" si="178"/>
        <v>2025</v>
      </c>
      <c r="D1468" s="2" t="s">
        <v>155</v>
      </c>
      <c r="E1468" s="2" t="s">
        <v>155</v>
      </c>
      <c r="F1468" s="39">
        <v>45839</v>
      </c>
      <c r="G1468" s="2">
        <f>DAY(EOMONTH(TA[[#This Row],[Month Year]],0))</f>
        <v>31</v>
      </c>
      <c r="H1468" s="21">
        <v>45849</v>
      </c>
      <c r="I1468" s="41">
        <f>IFERROR(VLOOKUP(TA[[#This Row],[Date]],Raw_Data[[Date]:[Sunset Time (POA&lt;20 W/m2)]],3,0),"")</f>
        <v>0.25486111111111109</v>
      </c>
      <c r="J1468" s="41">
        <f>IFERROR(VLOOKUP(TA[[#This Row],[Date]],Raw_Data[[Date]:[Sunset Time (POA&lt;20 W/m2)]],4,0),"")</f>
        <v>0.77777777777777779</v>
      </c>
      <c r="K1468" s="35">
        <f>IFERROR((TA[[#This Row],[Sunset Time (POA&lt;20 W/m2)]]-TA[[#This Row],[Sunrise Time (POA&gt;20 W/m2)]])*24,"")</f>
        <v>12.55</v>
      </c>
      <c r="L1468" s="2" t="s">
        <v>296</v>
      </c>
      <c r="M1468" s="42">
        <f>IFERROR(VLOOKUP(TA[[#This Row],[Affected Equipment]],'Basic Data'!$I$2:$K$40,3,0),"")</f>
        <v>8.6206896551724102E-3</v>
      </c>
      <c r="N1468">
        <v>-28</v>
      </c>
      <c r="O1468" t="s">
        <v>135</v>
      </c>
      <c r="P1468" s="22" t="s">
        <v>323</v>
      </c>
      <c r="Q1468" s="2" t="s">
        <v>329</v>
      </c>
      <c r="R1468">
        <v>47</v>
      </c>
      <c r="S1468" s="2">
        <v>18</v>
      </c>
      <c r="T1468" t="s">
        <v>297</v>
      </c>
      <c r="U1468" t="s">
        <v>300</v>
      </c>
      <c r="V1468" t="s">
        <v>301</v>
      </c>
      <c r="W1468" s="41"/>
      <c r="X1468" s="41"/>
      <c r="Y1468" s="34"/>
      <c r="Z1468" s="34"/>
      <c r="AA1468" s="35">
        <f>IF(TA[[#This Row],[Work Start time on Fault]]="NA","",(TA[[#This Row],[Fault Acknowledgement Time ]]-TA[[#This Row],[Fault Time]])*24)</f>
        <v>0</v>
      </c>
      <c r="AB1468" s="35">
        <f>(TA[[#This Row],[Work Start time on Fault]]-TA[[#This Row],[Fault Time]])*24</f>
        <v>0</v>
      </c>
      <c r="AC1468" s="34">
        <f>(TA[[#This Row],[Work Completion time on fault]]-TA[[#This Row],[Fault Time]])*24</f>
        <v>0</v>
      </c>
      <c r="AD1468" s="35">
        <f>IFERROR((TA[[#This Row],[Work Completion time on fault]]-TA[[#This Row],[Fault Time]])*24,"")</f>
        <v>0</v>
      </c>
      <c r="AE1468" t="s">
        <v>328</v>
      </c>
      <c r="AF1468" t="s">
        <v>256</v>
      </c>
      <c r="AG1468" s="2"/>
      <c r="AH1468" s="44">
        <f>1-COS(RADIANS(TA[[#This Row],[Avg. Target Angle during Fault Time (Radians)]]-TA[[#This Row],[Angle of affected equipment ]]))</f>
        <v>0.11705240714107301</v>
      </c>
      <c r="AI1468" s="35">
        <f>IFERROR(TA[[#This Row],[Breakdown Time]]*TA[[#This Row],[Plant Equivalent Weightage]],"")</f>
        <v>0</v>
      </c>
    </row>
    <row r="1469" spans="1:35">
      <c r="A1469" s="2">
        <f t="shared" si="176"/>
        <v>1466</v>
      </c>
      <c r="B1469" s="156">
        <f t="shared" si="177"/>
        <v>2026</v>
      </c>
      <c r="C1469" s="129">
        <f t="shared" si="178"/>
        <v>2025</v>
      </c>
      <c r="D1469" s="2" t="s">
        <v>155</v>
      </c>
      <c r="E1469" s="2" t="s">
        <v>155</v>
      </c>
      <c r="F1469" s="39">
        <v>45839</v>
      </c>
      <c r="G1469" s="2">
        <f>DAY(EOMONTH(TA[[#This Row],[Month Year]],0))</f>
        <v>31</v>
      </c>
      <c r="H1469" s="21">
        <v>45849</v>
      </c>
      <c r="I1469" s="41">
        <f>IFERROR(VLOOKUP(TA[[#This Row],[Date]],Raw_Data[[Date]:[Sunset Time (POA&lt;20 W/m2)]],3,0),"")</f>
        <v>0.25486111111111109</v>
      </c>
      <c r="J1469" s="41">
        <f>IFERROR(VLOOKUP(TA[[#This Row],[Date]],Raw_Data[[Date]:[Sunset Time (POA&lt;20 W/m2)]],4,0),"")</f>
        <v>0.77777777777777779</v>
      </c>
      <c r="K1469" s="35">
        <f>IFERROR((TA[[#This Row],[Sunset Time (POA&lt;20 W/m2)]]-TA[[#This Row],[Sunrise Time (POA&gt;20 W/m2)]])*24,"")</f>
        <v>12.55</v>
      </c>
      <c r="L1469" s="2" t="s">
        <v>296</v>
      </c>
      <c r="M1469" s="42">
        <f>IFERROR(VLOOKUP(TA[[#This Row],[Affected Equipment]],'Basic Data'!$I$2:$K$40,3,0),"")</f>
        <v>8.6206896551724102E-3</v>
      </c>
      <c r="N1469">
        <v>-28</v>
      </c>
      <c r="O1469" t="s">
        <v>134</v>
      </c>
      <c r="P1469" s="22" t="s">
        <v>330</v>
      </c>
      <c r="Q1469" s="2" t="s">
        <v>323</v>
      </c>
      <c r="R1469">
        <v>30</v>
      </c>
      <c r="S1469" s="2">
        <v>57</v>
      </c>
      <c r="T1469" t="s">
        <v>297</v>
      </c>
      <c r="U1469" t="s">
        <v>300</v>
      </c>
      <c r="V1469" t="s">
        <v>301</v>
      </c>
      <c r="W1469" s="41"/>
      <c r="X1469" s="41"/>
      <c r="Y1469" s="34"/>
      <c r="Z1469" s="34"/>
      <c r="AA1469" s="35">
        <f>IF(TA[[#This Row],[Work Start time on Fault]]="NA","",(TA[[#This Row],[Fault Acknowledgement Time ]]-TA[[#This Row],[Fault Time]])*24)</f>
        <v>0</v>
      </c>
      <c r="AB1469" s="35">
        <f>(TA[[#This Row],[Work Start time on Fault]]-TA[[#This Row],[Fault Time]])*24</f>
        <v>0</v>
      </c>
      <c r="AC1469" s="34">
        <f>(TA[[#This Row],[Work Completion time on fault]]-TA[[#This Row],[Fault Time]])*24</f>
        <v>0</v>
      </c>
      <c r="AD1469" s="35">
        <f>IFERROR((TA[[#This Row],[Work Completion time on fault]]-TA[[#This Row],[Fault Time]])*24,"")</f>
        <v>0</v>
      </c>
      <c r="AE1469" t="s">
        <v>328</v>
      </c>
      <c r="AF1469" t="s">
        <v>256</v>
      </c>
      <c r="AG1469" s="2"/>
      <c r="AH1469" s="44">
        <f>1-COS(RADIANS(TA[[#This Row],[Avg. Target Angle during Fault Time (Radians)]]-TA[[#This Row],[Angle of affected equipment ]]))</f>
        <v>0.11705240714107301</v>
      </c>
      <c r="AI1469" s="35">
        <f>IFERROR(TA[[#This Row],[Breakdown Time]]*TA[[#This Row],[Plant Equivalent Weightage]],"")</f>
        <v>0</v>
      </c>
    </row>
    <row r="1470" spans="1:35">
      <c r="A1470" s="2">
        <f t="shared" si="176"/>
        <v>1467</v>
      </c>
      <c r="B1470" s="156">
        <f t="shared" si="177"/>
        <v>2026</v>
      </c>
      <c r="C1470" s="129">
        <f t="shared" si="178"/>
        <v>2025</v>
      </c>
      <c r="D1470" s="2" t="s">
        <v>155</v>
      </c>
      <c r="E1470" s="2" t="s">
        <v>155</v>
      </c>
      <c r="F1470" s="39">
        <v>45839</v>
      </c>
      <c r="G1470" s="2">
        <f>DAY(EOMONTH(TA[[#This Row],[Month Year]],0))</f>
        <v>31</v>
      </c>
      <c r="H1470" s="21">
        <v>45849</v>
      </c>
      <c r="I1470" s="41">
        <f>IFERROR(VLOOKUP(TA[[#This Row],[Date]],Raw_Data[[Date]:[Sunset Time (POA&lt;20 W/m2)]],3,0),"")</f>
        <v>0.25486111111111109</v>
      </c>
      <c r="J1470" s="41">
        <f>IFERROR(VLOOKUP(TA[[#This Row],[Date]],Raw_Data[[Date]:[Sunset Time (POA&lt;20 W/m2)]],4,0),"")</f>
        <v>0.77777777777777779</v>
      </c>
      <c r="K1470" s="35">
        <f>IFERROR((TA[[#This Row],[Sunset Time (POA&lt;20 W/m2)]]-TA[[#This Row],[Sunrise Time (POA&gt;20 W/m2)]])*24,"")</f>
        <v>12.55</v>
      </c>
      <c r="L1470" s="2" t="s">
        <v>296</v>
      </c>
      <c r="M1470" s="42">
        <f>IFERROR(VLOOKUP(TA[[#This Row],[Affected Equipment]],'Basic Data'!$I$2:$K$40,3,0),"")</f>
        <v>8.6206896551724102E-3</v>
      </c>
      <c r="N1470">
        <v>-28</v>
      </c>
      <c r="O1470" t="s">
        <v>134</v>
      </c>
      <c r="P1470" s="22" t="s">
        <v>330</v>
      </c>
      <c r="Q1470" s="2" t="s">
        <v>323</v>
      </c>
      <c r="R1470">
        <v>31</v>
      </c>
      <c r="S1470" s="2">
        <v>61</v>
      </c>
      <c r="T1470" t="s">
        <v>297</v>
      </c>
      <c r="U1470" t="s">
        <v>300</v>
      </c>
      <c r="V1470" t="s">
        <v>301</v>
      </c>
      <c r="W1470" s="41"/>
      <c r="X1470" s="41"/>
      <c r="Y1470" s="34"/>
      <c r="Z1470" s="34"/>
      <c r="AA1470" s="35">
        <f>IF(TA[[#This Row],[Work Start time on Fault]]="NA","",(TA[[#This Row],[Fault Acknowledgement Time ]]-TA[[#This Row],[Fault Time]])*24)</f>
        <v>0</v>
      </c>
      <c r="AB1470" s="35">
        <f>(TA[[#This Row],[Work Start time on Fault]]-TA[[#This Row],[Fault Time]])*24</f>
        <v>0</v>
      </c>
      <c r="AC1470" s="34">
        <f>(TA[[#This Row],[Work Completion time on fault]]-TA[[#This Row],[Fault Time]])*24</f>
        <v>0</v>
      </c>
      <c r="AD1470" s="35">
        <f>IFERROR((TA[[#This Row],[Work Completion time on fault]]-TA[[#This Row],[Fault Time]])*24,"")</f>
        <v>0</v>
      </c>
      <c r="AE1470" t="s">
        <v>328</v>
      </c>
      <c r="AF1470" t="s">
        <v>256</v>
      </c>
      <c r="AG1470" s="2"/>
      <c r="AH1470" s="44">
        <f>1-COS(RADIANS(TA[[#This Row],[Avg. Target Angle during Fault Time (Radians)]]-TA[[#This Row],[Angle of affected equipment ]]))</f>
        <v>0.11705240714107301</v>
      </c>
      <c r="AI1470" s="35">
        <f>IFERROR(TA[[#This Row],[Breakdown Time]]*TA[[#This Row],[Plant Equivalent Weightage]],"")</f>
        <v>0</v>
      </c>
    </row>
    <row r="1471" spans="1:35">
      <c r="A1471" s="2">
        <f t="shared" si="176"/>
        <v>1468</v>
      </c>
      <c r="B1471" s="156">
        <f t="shared" si="177"/>
        <v>2026</v>
      </c>
      <c r="C1471" s="129">
        <f t="shared" si="178"/>
        <v>2025</v>
      </c>
      <c r="D1471" s="2" t="s">
        <v>155</v>
      </c>
      <c r="E1471" s="2" t="s">
        <v>155</v>
      </c>
      <c r="F1471" s="39">
        <v>45839</v>
      </c>
      <c r="G1471" s="2">
        <f>DAY(EOMONTH(TA[[#This Row],[Month Year]],0))</f>
        <v>31</v>
      </c>
      <c r="H1471" s="21">
        <v>45849</v>
      </c>
      <c r="I1471" s="41">
        <f>IFERROR(VLOOKUP(TA[[#This Row],[Date]],Raw_Data[[Date]:[Sunset Time (POA&lt;20 W/m2)]],3,0),"")</f>
        <v>0.25486111111111109</v>
      </c>
      <c r="J1471" s="41">
        <f>IFERROR(VLOOKUP(TA[[#This Row],[Date]],Raw_Data[[Date]:[Sunset Time (POA&lt;20 W/m2)]],4,0),"")</f>
        <v>0.77777777777777779</v>
      </c>
      <c r="K1471" s="35">
        <f>IFERROR((TA[[#This Row],[Sunset Time (POA&lt;20 W/m2)]]-TA[[#This Row],[Sunrise Time (POA&gt;20 W/m2)]])*24,"")</f>
        <v>12.55</v>
      </c>
      <c r="L1471" s="2" t="s">
        <v>312</v>
      </c>
      <c r="M1471" s="42">
        <f>IFERROR(VLOOKUP(TA[[#This Row],[Affected Equipment]],'Basic Data'!$I$2:$K$40,3,0),"")</f>
        <v>5.74712643678161E-3</v>
      </c>
      <c r="N1471">
        <v>-28</v>
      </c>
      <c r="O1471" t="s">
        <v>133</v>
      </c>
      <c r="P1471" s="22" t="s">
        <v>330</v>
      </c>
      <c r="Q1471" s="2" t="s">
        <v>323</v>
      </c>
      <c r="R1471">
        <v>26</v>
      </c>
      <c r="S1471" s="2">
        <v>37</v>
      </c>
      <c r="T1471" t="s">
        <v>297</v>
      </c>
      <c r="U1471" t="s">
        <v>300</v>
      </c>
      <c r="V1471" t="s">
        <v>301</v>
      </c>
      <c r="W1471" s="41"/>
      <c r="X1471" s="41"/>
      <c r="Y1471" s="34"/>
      <c r="Z1471" s="34"/>
      <c r="AA1471" s="35">
        <f>IF(TA[[#This Row],[Work Start time on Fault]]="NA","",(TA[[#This Row],[Fault Acknowledgement Time ]]-TA[[#This Row],[Fault Time]])*24)</f>
        <v>0</v>
      </c>
      <c r="AB1471" s="35">
        <f>(TA[[#This Row],[Work Start time on Fault]]-TA[[#This Row],[Fault Time]])*24</f>
        <v>0</v>
      </c>
      <c r="AC1471" s="34">
        <f>(TA[[#This Row],[Work Completion time on fault]]-TA[[#This Row],[Fault Time]])*24</f>
        <v>0</v>
      </c>
      <c r="AD1471" s="35">
        <f>IFERROR((TA[[#This Row],[Work Completion time on fault]]-TA[[#This Row],[Fault Time]])*24,"")</f>
        <v>0</v>
      </c>
      <c r="AE1471" t="s">
        <v>328</v>
      </c>
      <c r="AF1471" t="s">
        <v>256</v>
      </c>
      <c r="AG1471" s="2"/>
      <c r="AH1471" s="44">
        <f>1-COS(RADIANS(TA[[#This Row],[Avg. Target Angle during Fault Time (Radians)]]-TA[[#This Row],[Angle of affected equipment ]]))</f>
        <v>0.11705240714107301</v>
      </c>
      <c r="AI1471" s="35">
        <f>IFERROR(TA[[#This Row],[Breakdown Time]]*TA[[#This Row],[Plant Equivalent Weightage]],"")</f>
        <v>0</v>
      </c>
    </row>
    <row r="1472" spans="1:35">
      <c r="A1472" s="2">
        <f t="shared" si="176"/>
        <v>1469</v>
      </c>
      <c r="B1472" s="156">
        <f t="shared" si="177"/>
        <v>2026</v>
      </c>
      <c r="C1472" s="129">
        <f t="shared" si="178"/>
        <v>2025</v>
      </c>
      <c r="D1472" s="2" t="s">
        <v>155</v>
      </c>
      <c r="E1472" s="2" t="s">
        <v>155</v>
      </c>
      <c r="F1472" s="39">
        <v>45839</v>
      </c>
      <c r="G1472" s="2">
        <f>DAY(EOMONTH(TA[[#This Row],[Month Year]],0))</f>
        <v>31</v>
      </c>
      <c r="H1472" s="21">
        <v>45849</v>
      </c>
      <c r="I1472" s="41">
        <f>IFERROR(VLOOKUP(TA[[#This Row],[Date]],Raw_Data[[Date]:[Sunset Time (POA&lt;20 W/m2)]],3,0),"")</f>
        <v>0.25486111111111109</v>
      </c>
      <c r="J1472" s="41">
        <f>IFERROR(VLOOKUP(TA[[#This Row],[Date]],Raw_Data[[Date]:[Sunset Time (POA&lt;20 W/m2)]],4,0),"")</f>
        <v>0.77777777777777779</v>
      </c>
      <c r="K1472" s="35">
        <f>IFERROR((TA[[#This Row],[Sunset Time (POA&lt;20 W/m2)]]-TA[[#This Row],[Sunrise Time (POA&gt;20 W/m2)]])*24,"")</f>
        <v>12.55</v>
      </c>
      <c r="L1472" s="2" t="s">
        <v>312</v>
      </c>
      <c r="M1472" s="42">
        <f>IFERROR(VLOOKUP(TA[[#This Row],[Affected Equipment]],'Basic Data'!$I$2:$K$40,3,0),"")</f>
        <v>5.74712643678161E-3</v>
      </c>
      <c r="N1472">
        <v>-28</v>
      </c>
      <c r="O1472" t="s">
        <v>133</v>
      </c>
      <c r="P1472" s="22" t="s">
        <v>330</v>
      </c>
      <c r="Q1472" s="2" t="s">
        <v>323</v>
      </c>
      <c r="R1472">
        <v>27</v>
      </c>
      <c r="S1472" s="2">
        <v>42</v>
      </c>
      <c r="T1472" t="s">
        <v>297</v>
      </c>
      <c r="U1472" t="s">
        <v>300</v>
      </c>
      <c r="V1472" t="s">
        <v>301</v>
      </c>
      <c r="W1472" s="41">
        <f>IFERROR(VLOOKUP(TA[[#This Row],[Date]],Raw_Data[[Date]:[Sunset Time (POA&lt;20 W/m2)]],3,0),"")</f>
        <v>0.25486111111111109</v>
      </c>
      <c r="X1472" s="41">
        <f>IFERROR(VLOOKUP(TA[[#This Row],[Date]],Raw_Data[[Date]:[Sunset Time (POA&lt;20 W/m2)]],3,0),"")</f>
        <v>0.25486111111111109</v>
      </c>
      <c r="Y1472" s="34"/>
      <c r="Z1472" s="34">
        <v>0.76041666666666663</v>
      </c>
      <c r="AA1472" s="35">
        <f>IF(TA[[#This Row],[Work Start time on Fault]]="NA","",(TA[[#This Row],[Fault Acknowledgement Time ]]-TA[[#This Row],[Fault Time]])*24)</f>
        <v>0</v>
      </c>
      <c r="AB1472" s="35">
        <f>(TA[[#This Row],[Work Start time on Fault]]-TA[[#This Row],[Fault Time]])*24</f>
        <v>-6.1166666666666663</v>
      </c>
      <c r="AC1472" s="34">
        <f>(TA[[#This Row],[Work Completion time on fault]]-TA[[#This Row],[Fault Time]])*24</f>
        <v>12.133333333333333</v>
      </c>
      <c r="AD1472" s="35">
        <f>IFERROR((TA[[#This Row],[Work Completion time on fault]]-TA[[#This Row],[Fault Time]])*24,"")</f>
        <v>12.133333333333333</v>
      </c>
      <c r="AE1472" t="s">
        <v>309</v>
      </c>
      <c r="AF1472" t="s">
        <v>256</v>
      </c>
      <c r="AG1472" s="2"/>
      <c r="AH1472" s="44">
        <f>1-COS(RADIANS(TA[[#This Row],[Avg. Target Angle during Fault Time (Radians)]]-TA[[#This Row],[Angle of affected equipment ]]))</f>
        <v>0.11705240714107301</v>
      </c>
      <c r="AI1472" s="35">
        <f>IFERROR(TA[[#This Row],[Breakdown Time]]*TA[[#This Row],[Plant Equivalent Weightage]],"")</f>
        <v>6.9731800766283533E-2</v>
      </c>
    </row>
    <row r="1473" spans="1:35">
      <c r="A1473" s="2">
        <f t="shared" si="176"/>
        <v>1470</v>
      </c>
      <c r="B1473" s="156">
        <f t="shared" ref="B1473:B1485" si="179">YEAR(H1473)+IF(MONTH(H1473)&gt;=4,1,0)</f>
        <v>2026</v>
      </c>
      <c r="C1473" s="129">
        <f t="shared" ref="C1473:C1485" si="180">YEAR(H1473)</f>
        <v>2025</v>
      </c>
      <c r="D1473" s="2" t="s">
        <v>155</v>
      </c>
      <c r="E1473" s="2" t="s">
        <v>155</v>
      </c>
      <c r="F1473" s="39">
        <v>45839</v>
      </c>
      <c r="G1473" s="2">
        <f>DAY(EOMONTH(TA[[#This Row],[Month Year]],0))</f>
        <v>31</v>
      </c>
      <c r="H1473" s="21">
        <v>45850</v>
      </c>
      <c r="I1473" s="41">
        <f>IFERROR(VLOOKUP(TA[[#This Row],[Date]],Raw_Data[[Date]:[Sunset Time (POA&lt;20 W/m2)]],3,0),"")</f>
        <v>0.25416666666666665</v>
      </c>
      <c r="J1473" s="41">
        <f>IFERROR(VLOOKUP(TA[[#This Row],[Date]],Raw_Data[[Date]:[Sunset Time (POA&lt;20 W/m2)]],4,0),"")</f>
        <v>0.78472222222222221</v>
      </c>
      <c r="K1473" s="35">
        <f>IFERROR((TA[[#This Row],[Sunset Time (POA&lt;20 W/m2)]]-TA[[#This Row],[Sunrise Time (POA&gt;20 W/m2)]])*24,"")</f>
        <v>12.733333333333334</v>
      </c>
      <c r="L1473" s="2" t="s">
        <v>294</v>
      </c>
      <c r="M1473" s="42">
        <f>IFERROR(VLOOKUP(TA[[#This Row],[Affected Equipment]],'Basic Data'!$I$2:$K$40,3,0),"")</f>
        <v>1.7241379310344799E-3</v>
      </c>
      <c r="N1473">
        <v>-28</v>
      </c>
      <c r="O1473" t="s">
        <v>135</v>
      </c>
      <c r="P1473" s="127" t="s">
        <v>318</v>
      </c>
      <c r="Q1473" s="126" t="s">
        <v>318</v>
      </c>
      <c r="R1473">
        <v>131</v>
      </c>
      <c r="S1473" s="2">
        <v>38</v>
      </c>
      <c r="T1473" t="s">
        <v>295</v>
      </c>
      <c r="U1473" t="s">
        <v>300</v>
      </c>
      <c r="V1473" t="s">
        <v>298</v>
      </c>
      <c r="W1473" s="41"/>
      <c r="X1473" s="41"/>
      <c r="Y1473" s="34"/>
      <c r="Z1473" s="34"/>
      <c r="AA1473" s="35">
        <f>IF(TA[[#This Row],[Work Start time on Fault]]="NA","",(TA[[#This Row],[Fault Acknowledgement Time ]]-TA[[#This Row],[Fault Time]])*24)</f>
        <v>0</v>
      </c>
      <c r="AB1473" s="35">
        <f>(TA[[#This Row],[Work Start time on Fault]]-TA[[#This Row],[Fault Time]])*24</f>
        <v>0</v>
      </c>
      <c r="AC1473" s="34">
        <f>(TA[[#This Row],[Work Completion time on fault]]-TA[[#This Row],[Fault Time]])*24</f>
        <v>0</v>
      </c>
      <c r="AD1473" s="35">
        <f>IFERROR((TA[[#This Row],[Work Completion time on fault]]-TA[[#This Row],[Fault Time]])*24,"")</f>
        <v>0</v>
      </c>
      <c r="AE1473" t="s">
        <v>328</v>
      </c>
      <c r="AF1473" t="s">
        <v>256</v>
      </c>
      <c r="AG1473" s="2"/>
      <c r="AH1473" s="44">
        <f>1-COS(RADIANS(TA[[#This Row],[Avg. Target Angle during Fault Time (Radians)]]-TA[[#This Row],[Angle of affected equipment ]]))</f>
        <v>0.11705240714107301</v>
      </c>
      <c r="AI1473" s="35">
        <f>IFERROR(TA[[#This Row],[Breakdown Time]]*TA[[#This Row],[Plant Equivalent Weightage]],"")</f>
        <v>0</v>
      </c>
    </row>
    <row r="1474" spans="1:35">
      <c r="A1474" s="2">
        <f t="shared" si="176"/>
        <v>1471</v>
      </c>
      <c r="B1474" s="156">
        <f t="shared" si="179"/>
        <v>2026</v>
      </c>
      <c r="C1474" s="129">
        <f t="shared" si="180"/>
        <v>2025</v>
      </c>
      <c r="D1474" s="2" t="s">
        <v>155</v>
      </c>
      <c r="E1474" s="2" t="s">
        <v>155</v>
      </c>
      <c r="F1474" s="39">
        <v>45839</v>
      </c>
      <c r="G1474" s="2">
        <f>DAY(EOMONTH(TA[[#This Row],[Month Year]],0))</f>
        <v>31</v>
      </c>
      <c r="H1474" s="21">
        <v>45850</v>
      </c>
      <c r="I1474" s="41">
        <f>IFERROR(VLOOKUP(TA[[#This Row],[Date]],Raw_Data[[Date]:[Sunset Time (POA&lt;20 W/m2)]],3,0),"")</f>
        <v>0.25416666666666665</v>
      </c>
      <c r="J1474" s="41">
        <f>IFERROR(VLOOKUP(TA[[#This Row],[Date]],Raw_Data[[Date]:[Sunset Time (POA&lt;20 W/m2)]],4,0),"")</f>
        <v>0.78472222222222221</v>
      </c>
      <c r="K1474" s="35">
        <f>IFERROR((TA[[#This Row],[Sunset Time (POA&lt;20 W/m2)]]-TA[[#This Row],[Sunrise Time (POA&gt;20 W/m2)]])*24,"")</f>
        <v>12.733333333333334</v>
      </c>
      <c r="L1474" s="2" t="s">
        <v>294</v>
      </c>
      <c r="M1474" s="42">
        <f>IFERROR(VLOOKUP(TA[[#This Row],[Affected Equipment]],'Basic Data'!$I$2:$K$40,3,0),"")</f>
        <v>1.7241379310344799E-3</v>
      </c>
      <c r="N1474">
        <v>-28</v>
      </c>
      <c r="O1474" t="s">
        <v>135</v>
      </c>
      <c r="P1474" s="127" t="s">
        <v>318</v>
      </c>
      <c r="Q1474" s="126" t="s">
        <v>318</v>
      </c>
      <c r="R1474">
        <v>131</v>
      </c>
      <c r="S1474" s="2">
        <v>39</v>
      </c>
      <c r="T1474" t="s">
        <v>295</v>
      </c>
      <c r="U1474" t="s">
        <v>300</v>
      </c>
      <c r="V1474" t="s">
        <v>298</v>
      </c>
      <c r="W1474" s="41"/>
      <c r="X1474" s="41"/>
      <c r="Y1474" s="34"/>
      <c r="Z1474" s="34"/>
      <c r="AA1474" s="35">
        <f>IF(TA[[#This Row],[Work Start time on Fault]]="NA","",(TA[[#This Row],[Fault Acknowledgement Time ]]-TA[[#This Row],[Fault Time]])*24)</f>
        <v>0</v>
      </c>
      <c r="AB1474" s="35">
        <f>(TA[[#This Row],[Work Start time on Fault]]-TA[[#This Row],[Fault Time]])*24</f>
        <v>0</v>
      </c>
      <c r="AC1474" s="34">
        <f>(TA[[#This Row],[Work Completion time on fault]]-TA[[#This Row],[Fault Time]])*24</f>
        <v>0</v>
      </c>
      <c r="AD1474" s="35">
        <f>IFERROR((TA[[#This Row],[Work Completion time on fault]]-TA[[#This Row],[Fault Time]])*24,"")</f>
        <v>0</v>
      </c>
      <c r="AE1474" t="s">
        <v>328</v>
      </c>
      <c r="AF1474" t="s">
        <v>256</v>
      </c>
      <c r="AG1474" s="2"/>
      <c r="AH1474" s="44">
        <f>1-COS(RADIANS(TA[[#This Row],[Avg. Target Angle during Fault Time (Radians)]]-TA[[#This Row],[Angle of affected equipment ]]))</f>
        <v>0.11705240714107301</v>
      </c>
      <c r="AI1474" s="35">
        <f>IFERROR(TA[[#This Row],[Breakdown Time]]*TA[[#This Row],[Plant Equivalent Weightage]],"")</f>
        <v>0</v>
      </c>
    </row>
    <row r="1475" spans="1:35">
      <c r="A1475" s="2">
        <f t="shared" si="176"/>
        <v>1472</v>
      </c>
      <c r="B1475" s="156">
        <f t="shared" si="179"/>
        <v>2026</v>
      </c>
      <c r="C1475" s="129">
        <f t="shared" si="180"/>
        <v>2025</v>
      </c>
      <c r="D1475" s="2" t="s">
        <v>155</v>
      </c>
      <c r="E1475" s="2" t="s">
        <v>155</v>
      </c>
      <c r="F1475" s="39">
        <v>45839</v>
      </c>
      <c r="G1475" s="2">
        <f>DAY(EOMONTH(TA[[#This Row],[Month Year]],0))</f>
        <v>31</v>
      </c>
      <c r="H1475" s="21">
        <v>45850</v>
      </c>
      <c r="I1475" s="41">
        <f>IFERROR(VLOOKUP(TA[[#This Row],[Date]],Raw_Data[[Date]:[Sunset Time (POA&lt;20 W/m2)]],3,0),"")</f>
        <v>0.25416666666666665</v>
      </c>
      <c r="J1475" s="41">
        <f>IFERROR(VLOOKUP(TA[[#This Row],[Date]],Raw_Data[[Date]:[Sunset Time (POA&lt;20 W/m2)]],4,0),"")</f>
        <v>0.78472222222222221</v>
      </c>
      <c r="K1475" s="35">
        <f>IFERROR((TA[[#This Row],[Sunset Time (POA&lt;20 W/m2)]]-TA[[#This Row],[Sunrise Time (POA&gt;20 W/m2)]])*24,"")</f>
        <v>12.733333333333334</v>
      </c>
      <c r="L1475" s="2" t="s">
        <v>296</v>
      </c>
      <c r="M1475" s="42">
        <f>IFERROR(VLOOKUP(TA[[#This Row],[Affected Equipment]],'Basic Data'!$I$2:$K$40,3,0),"")</f>
        <v>8.6206896551724102E-3</v>
      </c>
      <c r="N1475">
        <v>-28</v>
      </c>
      <c r="O1475" t="s">
        <v>135</v>
      </c>
      <c r="P1475" s="127" t="s">
        <v>318</v>
      </c>
      <c r="Q1475" s="2" t="s">
        <v>321</v>
      </c>
      <c r="R1475">
        <v>133</v>
      </c>
      <c r="S1475" s="2">
        <v>26</v>
      </c>
      <c r="T1475" t="s">
        <v>297</v>
      </c>
      <c r="U1475" t="s">
        <v>300</v>
      </c>
      <c r="V1475" t="s">
        <v>314</v>
      </c>
      <c r="W1475" s="41">
        <f>IFERROR(VLOOKUP(TA[[#This Row],[Date]],Raw_Data[[Date]:[Sunset Time (POA&lt;20 W/m2)]],3,0),"")</f>
        <v>0.25416666666666665</v>
      </c>
      <c r="X1475" s="41">
        <f>IFERROR(VLOOKUP(TA[[#This Row],[Date]],Raw_Data[[Date]:[Sunset Time (POA&lt;20 W/m2)]],3,0),"")</f>
        <v>0.25416666666666665</v>
      </c>
      <c r="Y1475" s="34"/>
      <c r="Z1475" s="34">
        <v>0.76041666666666663</v>
      </c>
      <c r="AA1475" s="35">
        <f>IF(TA[[#This Row],[Work Start time on Fault]]="NA","",(TA[[#This Row],[Fault Acknowledgement Time ]]-TA[[#This Row],[Fault Time]])*24)</f>
        <v>0</v>
      </c>
      <c r="AB1475" s="35">
        <f>(TA[[#This Row],[Work Start time on Fault]]-TA[[#This Row],[Fault Time]])*24</f>
        <v>-6.1</v>
      </c>
      <c r="AC1475" s="34">
        <f>(TA[[#This Row],[Work Completion time on fault]]-TA[[#This Row],[Fault Time]])*24</f>
        <v>12.149999999999999</v>
      </c>
      <c r="AD1475" s="35">
        <f>IFERROR((TA[[#This Row],[Work Completion time on fault]]-TA[[#This Row],[Fault Time]])*24,"")</f>
        <v>12.149999999999999</v>
      </c>
      <c r="AE1475" t="s">
        <v>328</v>
      </c>
      <c r="AF1475" t="s">
        <v>256</v>
      </c>
      <c r="AG1475" s="2"/>
      <c r="AH1475" s="44">
        <f>1-COS(RADIANS(TA[[#This Row],[Avg. Target Angle during Fault Time (Radians)]]-TA[[#This Row],[Angle of affected equipment ]]))</f>
        <v>0.11705240714107301</v>
      </c>
      <c r="AI1475" s="35">
        <f>IFERROR(TA[[#This Row],[Breakdown Time]]*TA[[#This Row],[Plant Equivalent Weightage]],"")</f>
        <v>0.10474137931034477</v>
      </c>
    </row>
    <row r="1476" spans="1:35">
      <c r="A1476" s="2">
        <f t="shared" si="176"/>
        <v>1473</v>
      </c>
      <c r="B1476" s="156">
        <f t="shared" si="179"/>
        <v>2026</v>
      </c>
      <c r="C1476" s="129">
        <f t="shared" si="180"/>
        <v>2025</v>
      </c>
      <c r="D1476" s="2" t="s">
        <v>155</v>
      </c>
      <c r="E1476" s="2" t="s">
        <v>155</v>
      </c>
      <c r="F1476" s="39">
        <v>45839</v>
      </c>
      <c r="G1476" s="2">
        <f>DAY(EOMONTH(TA[[#This Row],[Month Year]],0))</f>
        <v>31</v>
      </c>
      <c r="H1476" s="21">
        <v>45850</v>
      </c>
      <c r="I1476" s="41">
        <f>IFERROR(VLOOKUP(TA[[#This Row],[Date]],Raw_Data[[Date]:[Sunset Time (POA&lt;20 W/m2)]],3,0),"")</f>
        <v>0.25416666666666665</v>
      </c>
      <c r="J1476" s="41">
        <f>IFERROR(VLOOKUP(TA[[#This Row],[Date]],Raw_Data[[Date]:[Sunset Time (POA&lt;20 W/m2)]],4,0),"")</f>
        <v>0.78472222222222221</v>
      </c>
      <c r="K1476" s="35">
        <f>IFERROR((TA[[#This Row],[Sunset Time (POA&lt;20 W/m2)]]-TA[[#This Row],[Sunrise Time (POA&gt;20 W/m2)]])*24,"")</f>
        <v>12.733333333333334</v>
      </c>
      <c r="L1476" s="2" t="s">
        <v>294</v>
      </c>
      <c r="M1476" s="42">
        <f>IFERROR(VLOOKUP(TA[[#This Row],[Affected Equipment]],'Basic Data'!$I$2:$K$40,3,0),"")</f>
        <v>1.7241379310344799E-3</v>
      </c>
      <c r="N1476">
        <v>-28</v>
      </c>
      <c r="O1476" t="s">
        <v>133</v>
      </c>
      <c r="P1476" s="127" t="s">
        <v>316</v>
      </c>
      <c r="Q1476" s="126" t="s">
        <v>317</v>
      </c>
      <c r="R1476">
        <v>7</v>
      </c>
      <c r="S1476" s="2">
        <v>32</v>
      </c>
      <c r="T1476" t="s">
        <v>295</v>
      </c>
      <c r="U1476" t="s">
        <v>300</v>
      </c>
      <c r="V1476" t="s">
        <v>298</v>
      </c>
      <c r="W1476" s="41"/>
      <c r="X1476" s="41"/>
      <c r="Y1476" s="34"/>
      <c r="Z1476" s="34"/>
      <c r="AA1476" s="35">
        <f>IF(TA[[#This Row],[Work Start time on Fault]]="NA","",(TA[[#This Row],[Fault Acknowledgement Time ]]-TA[[#This Row],[Fault Time]])*24)</f>
        <v>0</v>
      </c>
      <c r="AB1476" s="35">
        <f>(TA[[#This Row],[Work Start time on Fault]]-TA[[#This Row],[Fault Time]])*24</f>
        <v>0</v>
      </c>
      <c r="AC1476" s="34">
        <f>(TA[[#This Row],[Work Completion time on fault]]-TA[[#This Row],[Fault Time]])*24</f>
        <v>0</v>
      </c>
      <c r="AD1476" s="35">
        <f>IFERROR((TA[[#This Row],[Work Completion time on fault]]-TA[[#This Row],[Fault Time]])*24,"")</f>
        <v>0</v>
      </c>
      <c r="AE1476" t="s">
        <v>328</v>
      </c>
      <c r="AF1476" t="s">
        <v>256</v>
      </c>
      <c r="AG1476" s="2"/>
      <c r="AH1476" s="44">
        <f>1-COS(RADIANS(TA[[#This Row],[Avg. Target Angle during Fault Time (Radians)]]-TA[[#This Row],[Angle of affected equipment ]]))</f>
        <v>0.11705240714107301</v>
      </c>
      <c r="AI1476" s="35">
        <f>IFERROR(TA[[#This Row],[Breakdown Time]]*TA[[#This Row],[Plant Equivalent Weightage]],"")</f>
        <v>0</v>
      </c>
    </row>
    <row r="1477" spans="1:35">
      <c r="A1477" s="2">
        <f t="shared" si="176"/>
        <v>1474</v>
      </c>
      <c r="B1477" s="156">
        <f t="shared" si="179"/>
        <v>2026</v>
      </c>
      <c r="C1477" s="129">
        <f t="shared" si="180"/>
        <v>2025</v>
      </c>
      <c r="D1477" s="2" t="s">
        <v>155</v>
      </c>
      <c r="E1477" s="2" t="s">
        <v>155</v>
      </c>
      <c r="F1477" s="39">
        <v>45839</v>
      </c>
      <c r="G1477" s="2">
        <f>DAY(EOMONTH(TA[[#This Row],[Month Year]],0))</f>
        <v>31</v>
      </c>
      <c r="H1477" s="21">
        <v>45850</v>
      </c>
      <c r="I1477" s="41">
        <f>IFERROR(VLOOKUP(TA[[#This Row],[Date]],Raw_Data[[Date]:[Sunset Time (POA&lt;20 W/m2)]],3,0),"")</f>
        <v>0.25416666666666665</v>
      </c>
      <c r="J1477" s="41">
        <f>IFERROR(VLOOKUP(TA[[#This Row],[Date]],Raw_Data[[Date]:[Sunset Time (POA&lt;20 W/m2)]],4,0),"")</f>
        <v>0.78472222222222221</v>
      </c>
      <c r="K1477" s="35">
        <f>IFERROR((TA[[#This Row],[Sunset Time (POA&lt;20 W/m2)]]-TA[[#This Row],[Sunrise Time (POA&gt;20 W/m2)]])*24,"")</f>
        <v>12.733333333333334</v>
      </c>
      <c r="L1477" s="2" t="s">
        <v>294</v>
      </c>
      <c r="M1477" s="42">
        <f>IFERROR(VLOOKUP(TA[[#This Row],[Affected Equipment]],'Basic Data'!$I$2:$K$40,3,0),"")</f>
        <v>1.7241379310344799E-3</v>
      </c>
      <c r="N1477">
        <v>-28</v>
      </c>
      <c r="O1477" t="s">
        <v>137</v>
      </c>
      <c r="P1477" s="127" t="s">
        <v>315</v>
      </c>
      <c r="Q1477" s="126" t="s">
        <v>319</v>
      </c>
      <c r="R1477">
        <v>166</v>
      </c>
      <c r="S1477" s="2">
        <v>91</v>
      </c>
      <c r="T1477" t="s">
        <v>295</v>
      </c>
      <c r="U1477" t="s">
        <v>300</v>
      </c>
      <c r="V1477" t="s">
        <v>298</v>
      </c>
      <c r="W1477" s="41"/>
      <c r="X1477" s="41"/>
      <c r="Y1477" s="34"/>
      <c r="Z1477" s="34"/>
      <c r="AA1477" s="35">
        <f>IF(TA[[#This Row],[Work Start time on Fault]]="NA","",(TA[[#This Row],[Fault Acknowledgement Time ]]-TA[[#This Row],[Fault Time]])*24)</f>
        <v>0</v>
      </c>
      <c r="AB1477" s="35">
        <f>(TA[[#This Row],[Work Start time on Fault]]-TA[[#This Row],[Fault Time]])*24</f>
        <v>0</v>
      </c>
      <c r="AC1477" s="34">
        <f>(TA[[#This Row],[Work Completion time on fault]]-TA[[#This Row],[Fault Time]])*24</f>
        <v>0</v>
      </c>
      <c r="AD1477" s="35">
        <f>IFERROR((TA[[#This Row],[Work Completion time on fault]]-TA[[#This Row],[Fault Time]])*24,"")</f>
        <v>0</v>
      </c>
      <c r="AE1477" t="s">
        <v>328</v>
      </c>
      <c r="AF1477" t="s">
        <v>256</v>
      </c>
      <c r="AG1477" s="2"/>
      <c r="AH1477" s="44">
        <f>1-COS(RADIANS(TA[[#This Row],[Avg. Target Angle during Fault Time (Radians)]]-TA[[#This Row],[Angle of affected equipment ]]))</f>
        <v>0.11705240714107301</v>
      </c>
      <c r="AI1477" s="35">
        <f>IFERROR(TA[[#This Row],[Breakdown Time]]*TA[[#This Row],[Plant Equivalent Weightage]],"")</f>
        <v>0</v>
      </c>
    </row>
    <row r="1478" spans="1:35">
      <c r="A1478" s="2">
        <f t="shared" si="176"/>
        <v>1475</v>
      </c>
      <c r="B1478" s="156">
        <f t="shared" si="179"/>
        <v>2026</v>
      </c>
      <c r="C1478" s="129">
        <f t="shared" si="180"/>
        <v>2025</v>
      </c>
      <c r="D1478" s="2" t="s">
        <v>155</v>
      </c>
      <c r="E1478" s="2" t="s">
        <v>155</v>
      </c>
      <c r="F1478" s="39">
        <v>45839</v>
      </c>
      <c r="G1478" s="2">
        <f>DAY(EOMONTH(TA[[#This Row],[Month Year]],0))</f>
        <v>31</v>
      </c>
      <c r="H1478" s="21">
        <v>45850</v>
      </c>
      <c r="I1478" s="41">
        <f>IFERROR(VLOOKUP(TA[[#This Row],[Date]],Raw_Data[[Date]:[Sunset Time (POA&lt;20 W/m2)]],3,0),"")</f>
        <v>0.25416666666666665</v>
      </c>
      <c r="J1478" s="41">
        <f>IFERROR(VLOOKUP(TA[[#This Row],[Date]],Raw_Data[[Date]:[Sunset Time (POA&lt;20 W/m2)]],4,0),"")</f>
        <v>0.78472222222222221</v>
      </c>
      <c r="K1478" s="35">
        <f>IFERROR((TA[[#This Row],[Sunset Time (POA&lt;20 W/m2)]]-TA[[#This Row],[Sunrise Time (POA&gt;20 W/m2)]])*24,"")</f>
        <v>12.733333333333334</v>
      </c>
      <c r="L1478" s="2" t="s">
        <v>294</v>
      </c>
      <c r="M1478" s="42">
        <f>IFERROR(VLOOKUP(TA[[#This Row],[Affected Equipment]],'Basic Data'!$I$2:$K$40,3,0),"")</f>
        <v>1.7241379310344799E-3</v>
      </c>
      <c r="N1478">
        <v>-28</v>
      </c>
      <c r="O1478" t="s">
        <v>133</v>
      </c>
      <c r="P1478" s="127" t="s">
        <v>316</v>
      </c>
      <c r="Q1478" s="126" t="s">
        <v>316</v>
      </c>
      <c r="R1478">
        <v>117</v>
      </c>
      <c r="S1478" s="2">
        <v>20</v>
      </c>
      <c r="T1478" t="s">
        <v>295</v>
      </c>
      <c r="U1478" t="s">
        <v>300</v>
      </c>
      <c r="V1478" t="s">
        <v>298</v>
      </c>
      <c r="W1478" s="41"/>
      <c r="X1478" s="41"/>
      <c r="Y1478" s="34"/>
      <c r="Z1478" s="34"/>
      <c r="AA1478" s="35">
        <f>IF(TA[[#This Row],[Work Start time on Fault]]="NA","",(TA[[#This Row],[Fault Acknowledgement Time ]]-TA[[#This Row],[Fault Time]])*24)</f>
        <v>0</v>
      </c>
      <c r="AB1478" s="35">
        <f>(TA[[#This Row],[Work Start time on Fault]]-TA[[#This Row],[Fault Time]])*24</f>
        <v>0</v>
      </c>
      <c r="AC1478" s="34">
        <f>(TA[[#This Row],[Work Completion time on fault]]-TA[[#This Row],[Fault Time]])*24</f>
        <v>0</v>
      </c>
      <c r="AD1478" s="35">
        <f>IFERROR((TA[[#This Row],[Work Completion time on fault]]-TA[[#This Row],[Fault Time]])*24,"")</f>
        <v>0</v>
      </c>
      <c r="AE1478" t="s">
        <v>328</v>
      </c>
      <c r="AF1478" t="s">
        <v>256</v>
      </c>
      <c r="AG1478" s="2"/>
      <c r="AH1478" s="44">
        <f>1-COS(RADIANS(TA[[#This Row],[Avg. Target Angle during Fault Time (Radians)]]-TA[[#This Row],[Angle of affected equipment ]]))</f>
        <v>0.11705240714107301</v>
      </c>
      <c r="AI1478" s="35">
        <f>IFERROR(TA[[#This Row],[Breakdown Time]]*TA[[#This Row],[Plant Equivalent Weightage]],"")</f>
        <v>0</v>
      </c>
    </row>
    <row r="1479" spans="1:35">
      <c r="A1479" s="2">
        <f t="shared" si="176"/>
        <v>1476</v>
      </c>
      <c r="B1479" s="156">
        <f t="shared" si="179"/>
        <v>2026</v>
      </c>
      <c r="C1479" s="129">
        <f t="shared" si="180"/>
        <v>2025</v>
      </c>
      <c r="D1479" s="2" t="s">
        <v>155</v>
      </c>
      <c r="E1479" s="2" t="s">
        <v>155</v>
      </c>
      <c r="F1479" s="39">
        <v>45839</v>
      </c>
      <c r="G1479" s="2">
        <f>DAY(EOMONTH(TA[[#This Row],[Month Year]],0))</f>
        <v>31</v>
      </c>
      <c r="H1479" s="21">
        <v>45850</v>
      </c>
      <c r="I1479" s="41">
        <f>IFERROR(VLOOKUP(TA[[#This Row],[Date]],Raw_Data[[Date]:[Sunset Time (POA&lt;20 W/m2)]],3,0),"")</f>
        <v>0.25416666666666665</v>
      </c>
      <c r="J1479" s="41">
        <f>IFERROR(VLOOKUP(TA[[#This Row],[Date]],Raw_Data[[Date]:[Sunset Time (POA&lt;20 W/m2)]],4,0),"")</f>
        <v>0.78472222222222221</v>
      </c>
      <c r="K1479" s="35">
        <f>IFERROR((TA[[#This Row],[Sunset Time (POA&lt;20 W/m2)]]-TA[[#This Row],[Sunrise Time (POA&gt;20 W/m2)]])*24,"")</f>
        <v>12.733333333333334</v>
      </c>
      <c r="L1479" s="2" t="s">
        <v>294</v>
      </c>
      <c r="M1479" s="42">
        <f>IFERROR(VLOOKUP(TA[[#This Row],[Affected Equipment]],'Basic Data'!$I$2:$K$40,3,0),"")</f>
        <v>1.7241379310344799E-3</v>
      </c>
      <c r="N1479">
        <v>-28</v>
      </c>
      <c r="O1479" t="s">
        <v>133</v>
      </c>
      <c r="P1479" s="127" t="s">
        <v>316</v>
      </c>
      <c r="Q1479" s="126" t="s">
        <v>316</v>
      </c>
      <c r="R1479">
        <v>118</v>
      </c>
      <c r="S1479" s="2">
        <v>22</v>
      </c>
      <c r="T1479" t="s">
        <v>295</v>
      </c>
      <c r="U1479" t="s">
        <v>300</v>
      </c>
      <c r="V1479" t="s">
        <v>298</v>
      </c>
      <c r="W1479" s="41"/>
      <c r="X1479" s="41"/>
      <c r="Y1479" s="34"/>
      <c r="Z1479" s="34"/>
      <c r="AA1479" s="35">
        <f>IF(TA[[#This Row],[Work Start time on Fault]]="NA","",(TA[[#This Row],[Fault Acknowledgement Time ]]-TA[[#This Row],[Fault Time]])*24)</f>
        <v>0</v>
      </c>
      <c r="AB1479" s="35">
        <f>(TA[[#This Row],[Work Start time on Fault]]-TA[[#This Row],[Fault Time]])*24</f>
        <v>0</v>
      </c>
      <c r="AC1479" s="34">
        <f>(TA[[#This Row],[Work Completion time on fault]]-TA[[#This Row],[Fault Time]])*24</f>
        <v>0</v>
      </c>
      <c r="AD1479" s="35">
        <f>IFERROR((TA[[#This Row],[Work Completion time on fault]]-TA[[#This Row],[Fault Time]])*24,"")</f>
        <v>0</v>
      </c>
      <c r="AE1479" t="s">
        <v>328</v>
      </c>
      <c r="AF1479" t="s">
        <v>256</v>
      </c>
      <c r="AG1479" s="2"/>
      <c r="AH1479" s="44">
        <f>1-COS(RADIANS(TA[[#This Row],[Avg. Target Angle during Fault Time (Radians)]]-TA[[#This Row],[Angle of affected equipment ]]))</f>
        <v>0.11705240714107301</v>
      </c>
      <c r="AI1479" s="35">
        <f>IFERROR(TA[[#This Row],[Breakdown Time]]*TA[[#This Row],[Plant Equivalent Weightage]],"")</f>
        <v>0</v>
      </c>
    </row>
    <row r="1480" spans="1:35">
      <c r="A1480" s="2">
        <f t="shared" si="176"/>
        <v>1477</v>
      </c>
      <c r="B1480" s="156">
        <f t="shared" si="179"/>
        <v>2026</v>
      </c>
      <c r="C1480" s="129">
        <f t="shared" si="180"/>
        <v>2025</v>
      </c>
      <c r="D1480" s="2" t="s">
        <v>155</v>
      </c>
      <c r="E1480" s="2" t="s">
        <v>155</v>
      </c>
      <c r="F1480" s="39">
        <v>45839</v>
      </c>
      <c r="G1480" s="2">
        <f>DAY(EOMONTH(TA[[#This Row],[Month Year]],0))</f>
        <v>31</v>
      </c>
      <c r="H1480" s="21">
        <v>45850</v>
      </c>
      <c r="I1480" s="41">
        <f>IFERROR(VLOOKUP(TA[[#This Row],[Date]],Raw_Data[[Date]:[Sunset Time (POA&lt;20 W/m2)]],3,0),"")</f>
        <v>0.25416666666666665</v>
      </c>
      <c r="J1480" s="41">
        <f>IFERROR(VLOOKUP(TA[[#This Row],[Date]],Raw_Data[[Date]:[Sunset Time (POA&lt;20 W/m2)]],4,0),"")</f>
        <v>0.78472222222222221</v>
      </c>
      <c r="K1480" s="35">
        <f>IFERROR((TA[[#This Row],[Sunset Time (POA&lt;20 W/m2)]]-TA[[#This Row],[Sunrise Time (POA&gt;20 W/m2)]])*24,"")</f>
        <v>12.733333333333334</v>
      </c>
      <c r="L1480" s="2" t="s">
        <v>296</v>
      </c>
      <c r="M1480" s="42">
        <f>IFERROR(VLOOKUP(TA[[#This Row],[Affected Equipment]],'Basic Data'!$I$2:$K$40,3,0),"")</f>
        <v>8.6206896551724102E-3</v>
      </c>
      <c r="N1480">
        <v>-28</v>
      </c>
      <c r="O1480" t="s">
        <v>135</v>
      </c>
      <c r="P1480" s="22" t="s">
        <v>323</v>
      </c>
      <c r="Q1480" s="2" t="s">
        <v>329</v>
      </c>
      <c r="R1480">
        <v>45</v>
      </c>
      <c r="S1480" s="2">
        <v>8</v>
      </c>
      <c r="T1480" t="s">
        <v>297</v>
      </c>
      <c r="U1480" t="s">
        <v>300</v>
      </c>
      <c r="V1480" t="s">
        <v>301</v>
      </c>
      <c r="W1480" s="41"/>
      <c r="X1480" s="41"/>
      <c r="Y1480" s="34"/>
      <c r="Z1480" s="34"/>
      <c r="AA1480" s="35">
        <f>IF(TA[[#This Row],[Work Start time on Fault]]="NA","",(TA[[#This Row],[Fault Acknowledgement Time ]]-TA[[#This Row],[Fault Time]])*24)</f>
        <v>0</v>
      </c>
      <c r="AB1480" s="35">
        <f>(TA[[#This Row],[Work Start time on Fault]]-TA[[#This Row],[Fault Time]])*24</f>
        <v>0</v>
      </c>
      <c r="AC1480" s="34">
        <f>(TA[[#This Row],[Work Completion time on fault]]-TA[[#This Row],[Fault Time]])*24</f>
        <v>0</v>
      </c>
      <c r="AD1480" s="35">
        <f>IFERROR((TA[[#This Row],[Work Completion time on fault]]-TA[[#This Row],[Fault Time]])*24,"")</f>
        <v>0</v>
      </c>
      <c r="AE1480" t="s">
        <v>328</v>
      </c>
      <c r="AF1480" t="s">
        <v>256</v>
      </c>
      <c r="AG1480" s="2"/>
      <c r="AH1480" s="44">
        <f>1-COS(RADIANS(TA[[#This Row],[Avg. Target Angle during Fault Time (Radians)]]-TA[[#This Row],[Angle of affected equipment ]]))</f>
        <v>0.11705240714107301</v>
      </c>
      <c r="AI1480" s="35">
        <f>IFERROR(TA[[#This Row],[Breakdown Time]]*TA[[#This Row],[Plant Equivalent Weightage]],"")</f>
        <v>0</v>
      </c>
    </row>
    <row r="1481" spans="1:35">
      <c r="A1481" s="2">
        <f t="shared" si="176"/>
        <v>1478</v>
      </c>
      <c r="B1481" s="156">
        <f t="shared" si="179"/>
        <v>2026</v>
      </c>
      <c r="C1481" s="129">
        <f t="shared" si="180"/>
        <v>2025</v>
      </c>
      <c r="D1481" s="2" t="s">
        <v>155</v>
      </c>
      <c r="E1481" s="2" t="s">
        <v>155</v>
      </c>
      <c r="F1481" s="39">
        <v>45839</v>
      </c>
      <c r="G1481" s="2">
        <f>DAY(EOMONTH(TA[[#This Row],[Month Year]],0))</f>
        <v>31</v>
      </c>
      <c r="H1481" s="21">
        <v>45850</v>
      </c>
      <c r="I1481" s="41">
        <f>IFERROR(VLOOKUP(TA[[#This Row],[Date]],Raw_Data[[Date]:[Sunset Time (POA&lt;20 W/m2)]],3,0),"")</f>
        <v>0.25416666666666665</v>
      </c>
      <c r="J1481" s="41">
        <f>IFERROR(VLOOKUP(TA[[#This Row],[Date]],Raw_Data[[Date]:[Sunset Time (POA&lt;20 W/m2)]],4,0),"")</f>
        <v>0.78472222222222221</v>
      </c>
      <c r="K1481" s="35">
        <f>IFERROR((TA[[#This Row],[Sunset Time (POA&lt;20 W/m2)]]-TA[[#This Row],[Sunrise Time (POA&gt;20 W/m2)]])*24,"")</f>
        <v>12.733333333333334</v>
      </c>
      <c r="L1481" s="2" t="s">
        <v>296</v>
      </c>
      <c r="M1481" s="42">
        <f>IFERROR(VLOOKUP(TA[[#This Row],[Affected Equipment]],'Basic Data'!$I$2:$K$40,3,0),"")</f>
        <v>8.6206896551724102E-3</v>
      </c>
      <c r="N1481">
        <v>-28</v>
      </c>
      <c r="O1481" t="s">
        <v>135</v>
      </c>
      <c r="P1481" s="22" t="s">
        <v>323</v>
      </c>
      <c r="Q1481" s="2" t="s">
        <v>329</v>
      </c>
      <c r="R1481">
        <v>47</v>
      </c>
      <c r="S1481" s="2">
        <v>18</v>
      </c>
      <c r="T1481" t="s">
        <v>297</v>
      </c>
      <c r="U1481" t="s">
        <v>300</v>
      </c>
      <c r="V1481" t="s">
        <v>301</v>
      </c>
      <c r="W1481" s="41"/>
      <c r="X1481" s="41"/>
      <c r="Y1481" s="34"/>
      <c r="Z1481" s="34"/>
      <c r="AA1481" s="35">
        <f>IF(TA[[#This Row],[Work Start time on Fault]]="NA","",(TA[[#This Row],[Fault Acknowledgement Time ]]-TA[[#This Row],[Fault Time]])*24)</f>
        <v>0</v>
      </c>
      <c r="AB1481" s="35">
        <f>(TA[[#This Row],[Work Start time on Fault]]-TA[[#This Row],[Fault Time]])*24</f>
        <v>0</v>
      </c>
      <c r="AC1481" s="34">
        <f>(TA[[#This Row],[Work Completion time on fault]]-TA[[#This Row],[Fault Time]])*24</f>
        <v>0</v>
      </c>
      <c r="AD1481" s="35">
        <f>IFERROR((TA[[#This Row],[Work Completion time on fault]]-TA[[#This Row],[Fault Time]])*24,"")</f>
        <v>0</v>
      </c>
      <c r="AE1481" t="s">
        <v>328</v>
      </c>
      <c r="AF1481" t="s">
        <v>256</v>
      </c>
      <c r="AG1481" s="2"/>
      <c r="AH1481" s="44">
        <f>1-COS(RADIANS(TA[[#This Row],[Avg. Target Angle during Fault Time (Radians)]]-TA[[#This Row],[Angle of affected equipment ]]))</f>
        <v>0.11705240714107301</v>
      </c>
      <c r="AI1481" s="35">
        <f>IFERROR(TA[[#This Row],[Breakdown Time]]*TA[[#This Row],[Plant Equivalent Weightage]],"")</f>
        <v>0</v>
      </c>
    </row>
    <row r="1482" spans="1:35">
      <c r="A1482" s="2">
        <f t="shared" si="176"/>
        <v>1479</v>
      </c>
      <c r="B1482" s="156">
        <f t="shared" si="179"/>
        <v>2026</v>
      </c>
      <c r="C1482" s="129">
        <f t="shared" si="180"/>
        <v>2025</v>
      </c>
      <c r="D1482" s="2" t="s">
        <v>155</v>
      </c>
      <c r="E1482" s="2" t="s">
        <v>155</v>
      </c>
      <c r="F1482" s="39">
        <v>45839</v>
      </c>
      <c r="G1482" s="2">
        <f>DAY(EOMONTH(TA[[#This Row],[Month Year]],0))</f>
        <v>31</v>
      </c>
      <c r="H1482" s="21">
        <v>45850</v>
      </c>
      <c r="I1482" s="41">
        <f>IFERROR(VLOOKUP(TA[[#This Row],[Date]],Raw_Data[[Date]:[Sunset Time (POA&lt;20 W/m2)]],3,0),"")</f>
        <v>0.25416666666666665</v>
      </c>
      <c r="J1482" s="41">
        <f>IFERROR(VLOOKUP(TA[[#This Row],[Date]],Raw_Data[[Date]:[Sunset Time (POA&lt;20 W/m2)]],4,0),"")</f>
        <v>0.78472222222222221</v>
      </c>
      <c r="K1482" s="35">
        <f>IFERROR((TA[[#This Row],[Sunset Time (POA&lt;20 W/m2)]]-TA[[#This Row],[Sunrise Time (POA&gt;20 W/m2)]])*24,"")</f>
        <v>12.733333333333334</v>
      </c>
      <c r="L1482" s="2" t="s">
        <v>296</v>
      </c>
      <c r="M1482" s="42">
        <f>IFERROR(VLOOKUP(TA[[#This Row],[Affected Equipment]],'Basic Data'!$I$2:$K$40,3,0),"")</f>
        <v>8.6206896551724102E-3</v>
      </c>
      <c r="N1482">
        <v>-28</v>
      </c>
      <c r="O1482" t="s">
        <v>134</v>
      </c>
      <c r="P1482" s="22" t="s">
        <v>330</v>
      </c>
      <c r="Q1482" s="2" t="s">
        <v>323</v>
      </c>
      <c r="R1482">
        <v>30</v>
      </c>
      <c r="S1482" s="2">
        <v>57</v>
      </c>
      <c r="T1482" t="s">
        <v>297</v>
      </c>
      <c r="U1482" t="s">
        <v>300</v>
      </c>
      <c r="V1482" t="s">
        <v>301</v>
      </c>
      <c r="W1482" s="41"/>
      <c r="X1482" s="41"/>
      <c r="Y1482" s="34"/>
      <c r="Z1482" s="34"/>
      <c r="AA1482" s="35">
        <f>IF(TA[[#This Row],[Work Start time on Fault]]="NA","",(TA[[#This Row],[Fault Acknowledgement Time ]]-TA[[#This Row],[Fault Time]])*24)</f>
        <v>0</v>
      </c>
      <c r="AB1482" s="35">
        <f>(TA[[#This Row],[Work Start time on Fault]]-TA[[#This Row],[Fault Time]])*24</f>
        <v>0</v>
      </c>
      <c r="AC1482" s="34">
        <f>(TA[[#This Row],[Work Completion time on fault]]-TA[[#This Row],[Fault Time]])*24</f>
        <v>0</v>
      </c>
      <c r="AD1482" s="35">
        <f>IFERROR((TA[[#This Row],[Work Completion time on fault]]-TA[[#This Row],[Fault Time]])*24,"")</f>
        <v>0</v>
      </c>
      <c r="AE1482" t="s">
        <v>328</v>
      </c>
      <c r="AF1482" t="s">
        <v>256</v>
      </c>
      <c r="AG1482" s="2"/>
      <c r="AH1482" s="44">
        <f>1-COS(RADIANS(TA[[#This Row],[Avg. Target Angle during Fault Time (Radians)]]-TA[[#This Row],[Angle of affected equipment ]]))</f>
        <v>0.11705240714107301</v>
      </c>
      <c r="AI1482" s="35">
        <f>IFERROR(TA[[#This Row],[Breakdown Time]]*TA[[#This Row],[Plant Equivalent Weightage]],"")</f>
        <v>0</v>
      </c>
    </row>
    <row r="1483" spans="1:35">
      <c r="A1483" s="2">
        <f t="shared" si="176"/>
        <v>1480</v>
      </c>
      <c r="B1483" s="156">
        <f t="shared" si="179"/>
        <v>2026</v>
      </c>
      <c r="C1483" s="129">
        <f t="shared" si="180"/>
        <v>2025</v>
      </c>
      <c r="D1483" s="2" t="s">
        <v>155</v>
      </c>
      <c r="E1483" s="2" t="s">
        <v>155</v>
      </c>
      <c r="F1483" s="39">
        <v>45839</v>
      </c>
      <c r="G1483" s="2">
        <f>DAY(EOMONTH(TA[[#This Row],[Month Year]],0))</f>
        <v>31</v>
      </c>
      <c r="H1483" s="21">
        <v>45850</v>
      </c>
      <c r="I1483" s="41">
        <f>IFERROR(VLOOKUP(TA[[#This Row],[Date]],Raw_Data[[Date]:[Sunset Time (POA&lt;20 W/m2)]],3,0),"")</f>
        <v>0.25416666666666665</v>
      </c>
      <c r="J1483" s="41">
        <f>IFERROR(VLOOKUP(TA[[#This Row],[Date]],Raw_Data[[Date]:[Sunset Time (POA&lt;20 W/m2)]],4,0),"")</f>
        <v>0.78472222222222221</v>
      </c>
      <c r="K1483" s="35">
        <f>IFERROR((TA[[#This Row],[Sunset Time (POA&lt;20 W/m2)]]-TA[[#This Row],[Sunrise Time (POA&gt;20 W/m2)]])*24,"")</f>
        <v>12.733333333333334</v>
      </c>
      <c r="L1483" s="2" t="s">
        <v>296</v>
      </c>
      <c r="M1483" s="42">
        <f>IFERROR(VLOOKUP(TA[[#This Row],[Affected Equipment]],'Basic Data'!$I$2:$K$40,3,0),"")</f>
        <v>8.6206896551724102E-3</v>
      </c>
      <c r="N1483">
        <v>-28</v>
      </c>
      <c r="O1483" t="s">
        <v>134</v>
      </c>
      <c r="P1483" s="22" t="s">
        <v>330</v>
      </c>
      <c r="Q1483" s="2" t="s">
        <v>323</v>
      </c>
      <c r="R1483">
        <v>31</v>
      </c>
      <c r="S1483" s="2">
        <v>61</v>
      </c>
      <c r="T1483" t="s">
        <v>297</v>
      </c>
      <c r="U1483" t="s">
        <v>300</v>
      </c>
      <c r="V1483" t="s">
        <v>301</v>
      </c>
      <c r="W1483" s="41"/>
      <c r="X1483" s="41"/>
      <c r="Y1483" s="34"/>
      <c r="Z1483" s="34"/>
      <c r="AA1483" s="35">
        <f>IF(TA[[#This Row],[Work Start time on Fault]]="NA","",(TA[[#This Row],[Fault Acknowledgement Time ]]-TA[[#This Row],[Fault Time]])*24)</f>
        <v>0</v>
      </c>
      <c r="AB1483" s="35">
        <f>(TA[[#This Row],[Work Start time on Fault]]-TA[[#This Row],[Fault Time]])*24</f>
        <v>0</v>
      </c>
      <c r="AC1483" s="34">
        <f>(TA[[#This Row],[Work Completion time on fault]]-TA[[#This Row],[Fault Time]])*24</f>
        <v>0</v>
      </c>
      <c r="AD1483" s="35">
        <f>IFERROR((TA[[#This Row],[Work Completion time on fault]]-TA[[#This Row],[Fault Time]])*24,"")</f>
        <v>0</v>
      </c>
      <c r="AE1483" t="s">
        <v>328</v>
      </c>
      <c r="AF1483" t="s">
        <v>256</v>
      </c>
      <c r="AG1483" s="2"/>
      <c r="AH1483" s="44">
        <f>1-COS(RADIANS(TA[[#This Row],[Avg. Target Angle during Fault Time (Radians)]]-TA[[#This Row],[Angle of affected equipment ]]))</f>
        <v>0.11705240714107301</v>
      </c>
      <c r="AI1483" s="35">
        <f>IFERROR(TA[[#This Row],[Breakdown Time]]*TA[[#This Row],[Plant Equivalent Weightage]],"")</f>
        <v>0</v>
      </c>
    </row>
    <row r="1484" spans="1:35">
      <c r="A1484" s="2">
        <f t="shared" si="176"/>
        <v>1481</v>
      </c>
      <c r="B1484" s="156">
        <f t="shared" si="179"/>
        <v>2026</v>
      </c>
      <c r="C1484" s="129">
        <f t="shared" si="180"/>
        <v>2025</v>
      </c>
      <c r="D1484" s="2" t="s">
        <v>155</v>
      </c>
      <c r="E1484" s="2" t="s">
        <v>155</v>
      </c>
      <c r="F1484" s="39">
        <v>45839</v>
      </c>
      <c r="G1484" s="2">
        <f>DAY(EOMONTH(TA[[#This Row],[Month Year]],0))</f>
        <v>31</v>
      </c>
      <c r="H1484" s="21">
        <v>45850</v>
      </c>
      <c r="I1484" s="41">
        <f>IFERROR(VLOOKUP(TA[[#This Row],[Date]],Raw_Data[[Date]:[Sunset Time (POA&lt;20 W/m2)]],3,0),"")</f>
        <v>0.25416666666666665</v>
      </c>
      <c r="J1484" s="41">
        <f>IFERROR(VLOOKUP(TA[[#This Row],[Date]],Raw_Data[[Date]:[Sunset Time (POA&lt;20 W/m2)]],4,0),"")</f>
        <v>0.78472222222222221</v>
      </c>
      <c r="K1484" s="35">
        <f>IFERROR((TA[[#This Row],[Sunset Time (POA&lt;20 W/m2)]]-TA[[#This Row],[Sunrise Time (POA&gt;20 W/m2)]])*24,"")</f>
        <v>12.733333333333334</v>
      </c>
      <c r="L1484" s="2" t="s">
        <v>312</v>
      </c>
      <c r="M1484" s="42">
        <f>IFERROR(VLOOKUP(TA[[#This Row],[Affected Equipment]],'Basic Data'!$I$2:$K$40,3,0),"")</f>
        <v>5.74712643678161E-3</v>
      </c>
      <c r="N1484">
        <v>-28</v>
      </c>
      <c r="O1484" t="s">
        <v>133</v>
      </c>
      <c r="P1484" s="22" t="s">
        <v>330</v>
      </c>
      <c r="Q1484" s="2" t="s">
        <v>323</v>
      </c>
      <c r="R1484">
        <v>26</v>
      </c>
      <c r="S1484" s="2">
        <v>37</v>
      </c>
      <c r="T1484" t="s">
        <v>297</v>
      </c>
      <c r="U1484" t="s">
        <v>300</v>
      </c>
      <c r="V1484" t="s">
        <v>301</v>
      </c>
      <c r="W1484" s="41"/>
      <c r="X1484" s="41"/>
      <c r="Y1484" s="34"/>
      <c r="Z1484" s="34"/>
      <c r="AA1484" s="35">
        <f>IF(TA[[#This Row],[Work Start time on Fault]]="NA","",(TA[[#This Row],[Fault Acknowledgement Time ]]-TA[[#This Row],[Fault Time]])*24)</f>
        <v>0</v>
      </c>
      <c r="AB1484" s="35">
        <f>(TA[[#This Row],[Work Start time on Fault]]-TA[[#This Row],[Fault Time]])*24</f>
        <v>0</v>
      </c>
      <c r="AC1484" s="34">
        <f>(TA[[#This Row],[Work Completion time on fault]]-TA[[#This Row],[Fault Time]])*24</f>
        <v>0</v>
      </c>
      <c r="AD1484" s="35">
        <f>IFERROR((TA[[#This Row],[Work Completion time on fault]]-TA[[#This Row],[Fault Time]])*24,"")</f>
        <v>0</v>
      </c>
      <c r="AE1484" t="s">
        <v>328</v>
      </c>
      <c r="AF1484" t="s">
        <v>256</v>
      </c>
      <c r="AG1484" s="2"/>
      <c r="AH1484" s="44">
        <f>1-COS(RADIANS(TA[[#This Row],[Avg. Target Angle during Fault Time (Radians)]]-TA[[#This Row],[Angle of affected equipment ]]))</f>
        <v>0.11705240714107301</v>
      </c>
      <c r="AI1484" s="35">
        <f>IFERROR(TA[[#This Row],[Breakdown Time]]*TA[[#This Row],[Plant Equivalent Weightage]],"")</f>
        <v>0</v>
      </c>
    </row>
    <row r="1485" spans="1:35">
      <c r="A1485" s="2">
        <f t="shared" si="176"/>
        <v>1482</v>
      </c>
      <c r="B1485" s="156">
        <f t="shared" si="179"/>
        <v>2026</v>
      </c>
      <c r="C1485" s="129">
        <f t="shared" si="180"/>
        <v>2025</v>
      </c>
      <c r="D1485" s="2" t="s">
        <v>155</v>
      </c>
      <c r="E1485" s="2" t="s">
        <v>155</v>
      </c>
      <c r="F1485" s="39">
        <v>45839</v>
      </c>
      <c r="G1485" s="2">
        <f>DAY(EOMONTH(TA[[#This Row],[Month Year]],0))</f>
        <v>31</v>
      </c>
      <c r="H1485" s="21">
        <v>45850</v>
      </c>
      <c r="I1485" s="41">
        <f>IFERROR(VLOOKUP(TA[[#This Row],[Date]],Raw_Data[[Date]:[Sunset Time (POA&lt;20 W/m2)]],3,0),"")</f>
        <v>0.25416666666666665</v>
      </c>
      <c r="J1485" s="41">
        <f>IFERROR(VLOOKUP(TA[[#This Row],[Date]],Raw_Data[[Date]:[Sunset Time (POA&lt;20 W/m2)]],4,0),"")</f>
        <v>0.78472222222222221</v>
      </c>
      <c r="K1485" s="35">
        <f>IFERROR((TA[[#This Row],[Sunset Time (POA&lt;20 W/m2)]]-TA[[#This Row],[Sunrise Time (POA&gt;20 W/m2)]])*24,"")</f>
        <v>12.733333333333334</v>
      </c>
      <c r="L1485" s="2" t="s">
        <v>312</v>
      </c>
      <c r="M1485" s="42">
        <f>IFERROR(VLOOKUP(TA[[#This Row],[Affected Equipment]],'Basic Data'!$I$2:$K$40,3,0),"")</f>
        <v>5.74712643678161E-3</v>
      </c>
      <c r="N1485">
        <v>-28</v>
      </c>
      <c r="O1485" t="s">
        <v>133</v>
      </c>
      <c r="P1485" s="22" t="s">
        <v>330</v>
      </c>
      <c r="Q1485" s="2" t="s">
        <v>323</v>
      </c>
      <c r="R1485">
        <v>27</v>
      </c>
      <c r="S1485" s="2">
        <v>42</v>
      </c>
      <c r="T1485" t="s">
        <v>297</v>
      </c>
      <c r="U1485" t="s">
        <v>300</v>
      </c>
      <c r="V1485" t="s">
        <v>301</v>
      </c>
      <c r="W1485" s="41">
        <f>IFERROR(VLOOKUP(TA[[#This Row],[Date]],Raw_Data[[Date]:[Sunset Time (POA&lt;20 W/m2)]],3,0),"")</f>
        <v>0.25416666666666665</v>
      </c>
      <c r="X1485" s="41">
        <f>IFERROR(VLOOKUP(TA[[#This Row],[Date]],Raw_Data[[Date]:[Sunset Time (POA&lt;20 W/m2)]],3,0),"")</f>
        <v>0.25416666666666665</v>
      </c>
      <c r="Y1485" s="34"/>
      <c r="Z1485" s="34">
        <v>0.76041666666666663</v>
      </c>
      <c r="AA1485" s="35">
        <f>IF(TA[[#This Row],[Work Start time on Fault]]="NA","",(TA[[#This Row],[Fault Acknowledgement Time ]]-TA[[#This Row],[Fault Time]])*24)</f>
        <v>0</v>
      </c>
      <c r="AB1485" s="35">
        <f>(TA[[#This Row],[Work Start time on Fault]]-TA[[#This Row],[Fault Time]])*24</f>
        <v>-6.1</v>
      </c>
      <c r="AC1485" s="34">
        <f>(TA[[#This Row],[Work Completion time on fault]]-TA[[#This Row],[Fault Time]])*24</f>
        <v>12.149999999999999</v>
      </c>
      <c r="AD1485" s="35">
        <f>IFERROR((TA[[#This Row],[Work Completion time on fault]]-TA[[#This Row],[Fault Time]])*24,"")</f>
        <v>12.149999999999999</v>
      </c>
      <c r="AE1485" t="s">
        <v>309</v>
      </c>
      <c r="AF1485" t="s">
        <v>256</v>
      </c>
      <c r="AG1485" s="2"/>
      <c r="AH1485" s="44">
        <f>1-COS(RADIANS(TA[[#This Row],[Avg. Target Angle during Fault Time (Radians)]]-TA[[#This Row],[Angle of affected equipment ]]))</f>
        <v>0.11705240714107301</v>
      </c>
      <c r="AI1485" s="35">
        <f>IFERROR(TA[[#This Row],[Breakdown Time]]*TA[[#This Row],[Plant Equivalent Weightage]],"")</f>
        <v>6.9827586206896552E-2</v>
      </c>
    </row>
    <row r="1486" spans="1:35">
      <c r="A1486" s="2">
        <f t="shared" si="176"/>
        <v>1483</v>
      </c>
      <c r="B1486" s="156">
        <f t="shared" ref="B1486:B1498" si="181">YEAR(H1486)+IF(MONTH(H1486)&gt;=4,1,0)</f>
        <v>2026</v>
      </c>
      <c r="C1486" s="129">
        <f t="shared" ref="C1486:C1498" si="182">YEAR(H1486)</f>
        <v>2025</v>
      </c>
      <c r="D1486" s="2" t="s">
        <v>155</v>
      </c>
      <c r="E1486" s="2" t="s">
        <v>155</v>
      </c>
      <c r="F1486" s="39">
        <v>45839</v>
      </c>
      <c r="G1486" s="233">
        <f>DAY(EOMONTH(TA[[#This Row],[Month Year]],0))</f>
        <v>31</v>
      </c>
      <c r="H1486" s="21">
        <v>45851</v>
      </c>
      <c r="I1486" s="41">
        <f>IFERROR(VLOOKUP(TA[[#This Row],[Date]],Raw_Data[[Date]:[Sunset Time (POA&lt;20 W/m2)]],3,0),"")</f>
        <v>0.25208333333333333</v>
      </c>
      <c r="J1486" s="41">
        <f>IFERROR(VLOOKUP(TA[[#This Row],[Date]],Raw_Data[[Date]:[Sunset Time (POA&lt;20 W/m2)]],4,0),"")</f>
        <v>0.78194444444444444</v>
      </c>
      <c r="K1486" s="35">
        <f>IFERROR((TA[[#This Row],[Sunset Time (POA&lt;20 W/m2)]]-TA[[#This Row],[Sunrise Time (POA&gt;20 W/m2)]])*24,"")</f>
        <v>12.716666666666667</v>
      </c>
      <c r="L1486" s="2" t="s">
        <v>294</v>
      </c>
      <c r="M1486" s="42">
        <f>IFERROR(VLOOKUP(TA[[#This Row],[Affected Equipment]],'Basic Data'!$I$2:$K$40,3,0),"")</f>
        <v>1.7241379310344799E-3</v>
      </c>
      <c r="N1486">
        <v>-28</v>
      </c>
      <c r="O1486" t="s">
        <v>135</v>
      </c>
      <c r="P1486" s="127" t="s">
        <v>318</v>
      </c>
      <c r="Q1486" s="126" t="s">
        <v>318</v>
      </c>
      <c r="R1486">
        <v>131</v>
      </c>
      <c r="S1486" s="2">
        <v>38</v>
      </c>
      <c r="T1486" t="s">
        <v>295</v>
      </c>
      <c r="U1486" t="s">
        <v>300</v>
      </c>
      <c r="V1486" t="s">
        <v>298</v>
      </c>
      <c r="W1486" s="41"/>
      <c r="X1486" s="41"/>
      <c r="Y1486" s="34"/>
      <c r="Z1486" s="34"/>
      <c r="AA1486" s="35">
        <f>IF(TA[[#This Row],[Work Start time on Fault]]="NA","",(TA[[#This Row],[Fault Acknowledgement Time ]]-TA[[#This Row],[Fault Time]])*24)</f>
        <v>0</v>
      </c>
      <c r="AB1486" s="35">
        <f>(TA[[#This Row],[Work Start time on Fault]]-TA[[#This Row],[Fault Time]])*24</f>
        <v>0</v>
      </c>
      <c r="AC1486" s="34">
        <f>(TA[[#This Row],[Work Completion time on fault]]-TA[[#This Row],[Fault Time]])*24</f>
        <v>0</v>
      </c>
      <c r="AD1486" s="35">
        <f>IFERROR((TA[[#This Row],[Work Completion time on fault]]-TA[[#This Row],[Fault Time]])*24,"")</f>
        <v>0</v>
      </c>
      <c r="AE1486" t="s">
        <v>328</v>
      </c>
      <c r="AF1486" t="s">
        <v>256</v>
      </c>
      <c r="AG1486" s="2"/>
      <c r="AH1486" s="44">
        <f>1-COS(RADIANS(TA[[#This Row],[Avg. Target Angle during Fault Time (Radians)]]-TA[[#This Row],[Angle of affected equipment ]]))</f>
        <v>0.11705240714107301</v>
      </c>
      <c r="AI1486" s="35">
        <f>IFERROR(TA[[#This Row],[Breakdown Time]]*TA[[#This Row],[Plant Equivalent Weightage]],"")</f>
        <v>0</v>
      </c>
    </row>
    <row r="1487" spans="1:35">
      <c r="A1487" s="2">
        <f t="shared" si="176"/>
        <v>1484</v>
      </c>
      <c r="B1487" s="156">
        <f t="shared" si="181"/>
        <v>2026</v>
      </c>
      <c r="C1487" s="129">
        <f t="shared" si="182"/>
        <v>2025</v>
      </c>
      <c r="D1487" s="2" t="s">
        <v>155</v>
      </c>
      <c r="E1487" s="2" t="s">
        <v>155</v>
      </c>
      <c r="F1487" s="39">
        <v>45839</v>
      </c>
      <c r="G1487" s="233">
        <f>DAY(EOMONTH(TA[[#This Row],[Month Year]],0))</f>
        <v>31</v>
      </c>
      <c r="H1487" s="21">
        <v>45851</v>
      </c>
      <c r="I1487" s="41">
        <f>IFERROR(VLOOKUP(TA[[#This Row],[Date]],Raw_Data[[Date]:[Sunset Time (POA&lt;20 W/m2)]],3,0),"")</f>
        <v>0.25208333333333333</v>
      </c>
      <c r="J1487" s="41">
        <f>IFERROR(VLOOKUP(TA[[#This Row],[Date]],Raw_Data[[Date]:[Sunset Time (POA&lt;20 W/m2)]],4,0),"")</f>
        <v>0.78194444444444444</v>
      </c>
      <c r="K1487" s="35">
        <f>IFERROR((TA[[#This Row],[Sunset Time (POA&lt;20 W/m2)]]-TA[[#This Row],[Sunrise Time (POA&gt;20 W/m2)]])*24,"")</f>
        <v>12.716666666666667</v>
      </c>
      <c r="L1487" s="2" t="s">
        <v>294</v>
      </c>
      <c r="M1487" s="42">
        <f>IFERROR(VLOOKUP(TA[[#This Row],[Affected Equipment]],'Basic Data'!$I$2:$K$40,3,0),"")</f>
        <v>1.7241379310344799E-3</v>
      </c>
      <c r="N1487">
        <v>-28</v>
      </c>
      <c r="O1487" t="s">
        <v>135</v>
      </c>
      <c r="P1487" s="127" t="s">
        <v>318</v>
      </c>
      <c r="Q1487" s="126" t="s">
        <v>318</v>
      </c>
      <c r="R1487">
        <v>131</v>
      </c>
      <c r="S1487" s="2">
        <v>39</v>
      </c>
      <c r="T1487" t="s">
        <v>295</v>
      </c>
      <c r="U1487" t="s">
        <v>300</v>
      </c>
      <c r="V1487" t="s">
        <v>298</v>
      </c>
      <c r="W1487" s="41"/>
      <c r="X1487" s="41"/>
      <c r="Y1487" s="34"/>
      <c r="Z1487" s="34"/>
      <c r="AA1487" s="35">
        <f>IF(TA[[#This Row],[Work Start time on Fault]]="NA","",(TA[[#This Row],[Fault Acknowledgement Time ]]-TA[[#This Row],[Fault Time]])*24)</f>
        <v>0</v>
      </c>
      <c r="AB1487" s="35">
        <f>(TA[[#This Row],[Work Start time on Fault]]-TA[[#This Row],[Fault Time]])*24</f>
        <v>0</v>
      </c>
      <c r="AC1487" s="34">
        <f>(TA[[#This Row],[Work Completion time on fault]]-TA[[#This Row],[Fault Time]])*24</f>
        <v>0</v>
      </c>
      <c r="AD1487" s="35">
        <f>IFERROR((TA[[#This Row],[Work Completion time on fault]]-TA[[#This Row],[Fault Time]])*24,"")</f>
        <v>0</v>
      </c>
      <c r="AE1487" t="s">
        <v>328</v>
      </c>
      <c r="AF1487" t="s">
        <v>256</v>
      </c>
      <c r="AG1487" s="2"/>
      <c r="AH1487" s="44">
        <f>1-COS(RADIANS(TA[[#This Row],[Avg. Target Angle during Fault Time (Radians)]]-TA[[#This Row],[Angle of affected equipment ]]))</f>
        <v>0.11705240714107301</v>
      </c>
      <c r="AI1487" s="35">
        <f>IFERROR(TA[[#This Row],[Breakdown Time]]*TA[[#This Row],[Plant Equivalent Weightage]],"")</f>
        <v>0</v>
      </c>
    </row>
    <row r="1488" spans="1:35">
      <c r="A1488" s="2">
        <f t="shared" si="176"/>
        <v>1485</v>
      </c>
      <c r="B1488" s="156">
        <f t="shared" si="181"/>
        <v>2026</v>
      </c>
      <c r="C1488" s="129">
        <f t="shared" si="182"/>
        <v>2025</v>
      </c>
      <c r="D1488" s="2" t="s">
        <v>155</v>
      </c>
      <c r="E1488" s="2" t="s">
        <v>155</v>
      </c>
      <c r="F1488" s="39">
        <v>45839</v>
      </c>
      <c r="G1488" s="233">
        <f>DAY(EOMONTH(TA[[#This Row],[Month Year]],0))</f>
        <v>31</v>
      </c>
      <c r="H1488" s="21">
        <v>45851</v>
      </c>
      <c r="I1488" s="41">
        <f>IFERROR(VLOOKUP(TA[[#This Row],[Date]],Raw_Data[[Date]:[Sunset Time (POA&lt;20 W/m2)]],3,0),"")</f>
        <v>0.25208333333333333</v>
      </c>
      <c r="J1488" s="41">
        <f>IFERROR(VLOOKUP(TA[[#This Row],[Date]],Raw_Data[[Date]:[Sunset Time (POA&lt;20 W/m2)]],4,0),"")</f>
        <v>0.78194444444444444</v>
      </c>
      <c r="K1488" s="35">
        <f>IFERROR((TA[[#This Row],[Sunset Time (POA&lt;20 W/m2)]]-TA[[#This Row],[Sunrise Time (POA&gt;20 W/m2)]])*24,"")</f>
        <v>12.716666666666667</v>
      </c>
      <c r="L1488" s="2" t="s">
        <v>296</v>
      </c>
      <c r="M1488" s="42">
        <f>IFERROR(VLOOKUP(TA[[#This Row],[Affected Equipment]],'Basic Data'!$I$2:$K$40,3,0),"")</f>
        <v>8.6206896551724102E-3</v>
      </c>
      <c r="N1488">
        <v>-28</v>
      </c>
      <c r="O1488" t="s">
        <v>135</v>
      </c>
      <c r="P1488" s="127" t="s">
        <v>318</v>
      </c>
      <c r="Q1488" s="2" t="s">
        <v>321</v>
      </c>
      <c r="R1488">
        <v>133</v>
      </c>
      <c r="S1488" s="2">
        <v>26</v>
      </c>
      <c r="T1488" t="s">
        <v>297</v>
      </c>
      <c r="U1488" t="s">
        <v>300</v>
      </c>
      <c r="V1488" t="s">
        <v>314</v>
      </c>
      <c r="W1488" s="41">
        <f>IFERROR(VLOOKUP(TA[[#This Row],[Date]],Raw_Data[[Date]:[Sunset Time (POA&lt;20 W/m2)]],3,0),"")</f>
        <v>0.25208333333333333</v>
      </c>
      <c r="X1488" s="41">
        <f>IFERROR(VLOOKUP(TA[[#This Row],[Date]],Raw_Data[[Date]:[Sunset Time (POA&lt;20 W/m2)]],3,0),"")</f>
        <v>0.25208333333333333</v>
      </c>
      <c r="Y1488" s="34"/>
      <c r="Z1488" s="34">
        <v>0.76041666666666663</v>
      </c>
      <c r="AA1488" s="35">
        <f>IF(TA[[#This Row],[Work Start time on Fault]]="NA","",(TA[[#This Row],[Fault Acknowledgement Time ]]-TA[[#This Row],[Fault Time]])*24)</f>
        <v>0</v>
      </c>
      <c r="AB1488" s="35">
        <f>(TA[[#This Row],[Work Start time on Fault]]-TA[[#This Row],[Fault Time]])*24</f>
        <v>-6.05</v>
      </c>
      <c r="AC1488" s="34">
        <f>(TA[[#This Row],[Work Completion time on fault]]-TA[[#This Row],[Fault Time]])*24</f>
        <v>12.2</v>
      </c>
      <c r="AD1488" s="35">
        <f>IFERROR((TA[[#This Row],[Work Completion time on fault]]-TA[[#This Row],[Fault Time]])*24,"")</f>
        <v>12.2</v>
      </c>
      <c r="AE1488" t="s">
        <v>328</v>
      </c>
      <c r="AF1488" t="s">
        <v>256</v>
      </c>
      <c r="AG1488" s="2"/>
      <c r="AH1488" s="44">
        <f>1-COS(RADIANS(TA[[#This Row],[Avg. Target Angle during Fault Time (Radians)]]-TA[[#This Row],[Angle of affected equipment ]]))</f>
        <v>0.11705240714107301</v>
      </c>
      <c r="AI1488" s="35">
        <f>IFERROR(TA[[#This Row],[Breakdown Time]]*TA[[#This Row],[Plant Equivalent Weightage]],"")</f>
        <v>0.10517241379310339</v>
      </c>
    </row>
    <row r="1489" spans="1:35">
      <c r="A1489" s="2">
        <f t="shared" si="176"/>
        <v>1486</v>
      </c>
      <c r="B1489" s="156">
        <f t="shared" si="181"/>
        <v>2026</v>
      </c>
      <c r="C1489" s="129">
        <f t="shared" si="182"/>
        <v>2025</v>
      </c>
      <c r="D1489" s="2" t="s">
        <v>155</v>
      </c>
      <c r="E1489" s="2" t="s">
        <v>155</v>
      </c>
      <c r="F1489" s="39">
        <v>45839</v>
      </c>
      <c r="G1489" s="233">
        <f>DAY(EOMONTH(TA[[#This Row],[Month Year]],0))</f>
        <v>31</v>
      </c>
      <c r="H1489" s="21">
        <v>45851</v>
      </c>
      <c r="I1489" s="41">
        <f>IFERROR(VLOOKUP(TA[[#This Row],[Date]],Raw_Data[[Date]:[Sunset Time (POA&lt;20 W/m2)]],3,0),"")</f>
        <v>0.25208333333333333</v>
      </c>
      <c r="J1489" s="41">
        <f>IFERROR(VLOOKUP(TA[[#This Row],[Date]],Raw_Data[[Date]:[Sunset Time (POA&lt;20 W/m2)]],4,0),"")</f>
        <v>0.78194444444444444</v>
      </c>
      <c r="K1489" s="35">
        <f>IFERROR((TA[[#This Row],[Sunset Time (POA&lt;20 W/m2)]]-TA[[#This Row],[Sunrise Time (POA&gt;20 W/m2)]])*24,"")</f>
        <v>12.716666666666667</v>
      </c>
      <c r="L1489" s="2" t="s">
        <v>294</v>
      </c>
      <c r="M1489" s="42">
        <f>IFERROR(VLOOKUP(TA[[#This Row],[Affected Equipment]],'Basic Data'!$I$2:$K$40,3,0),"")</f>
        <v>1.7241379310344799E-3</v>
      </c>
      <c r="N1489">
        <v>-28</v>
      </c>
      <c r="O1489" t="s">
        <v>133</v>
      </c>
      <c r="P1489" s="127" t="s">
        <v>316</v>
      </c>
      <c r="Q1489" s="126" t="s">
        <v>317</v>
      </c>
      <c r="R1489">
        <v>7</v>
      </c>
      <c r="S1489" s="2">
        <v>32</v>
      </c>
      <c r="T1489" t="s">
        <v>295</v>
      </c>
      <c r="U1489" t="s">
        <v>300</v>
      </c>
      <c r="V1489" t="s">
        <v>298</v>
      </c>
      <c r="W1489" s="41"/>
      <c r="X1489" s="41"/>
      <c r="Y1489" s="34"/>
      <c r="Z1489" s="34"/>
      <c r="AA1489" s="35">
        <f>IF(TA[[#This Row],[Work Start time on Fault]]="NA","",(TA[[#This Row],[Fault Acknowledgement Time ]]-TA[[#This Row],[Fault Time]])*24)</f>
        <v>0</v>
      </c>
      <c r="AB1489" s="35">
        <f>(TA[[#This Row],[Work Start time on Fault]]-TA[[#This Row],[Fault Time]])*24</f>
        <v>0</v>
      </c>
      <c r="AC1489" s="34">
        <f>(TA[[#This Row],[Work Completion time on fault]]-TA[[#This Row],[Fault Time]])*24</f>
        <v>0</v>
      </c>
      <c r="AD1489" s="35">
        <f>IFERROR((TA[[#This Row],[Work Completion time on fault]]-TA[[#This Row],[Fault Time]])*24,"")</f>
        <v>0</v>
      </c>
      <c r="AE1489" t="s">
        <v>328</v>
      </c>
      <c r="AF1489" t="s">
        <v>256</v>
      </c>
      <c r="AG1489" s="2"/>
      <c r="AH1489" s="44">
        <f>1-COS(RADIANS(TA[[#This Row],[Avg. Target Angle during Fault Time (Radians)]]-TA[[#This Row],[Angle of affected equipment ]]))</f>
        <v>0.11705240714107301</v>
      </c>
      <c r="AI1489" s="35">
        <f>IFERROR(TA[[#This Row],[Breakdown Time]]*TA[[#This Row],[Plant Equivalent Weightage]],"")</f>
        <v>0</v>
      </c>
    </row>
    <row r="1490" spans="1:35">
      <c r="A1490" s="2">
        <f t="shared" si="176"/>
        <v>1487</v>
      </c>
      <c r="B1490" s="156">
        <f t="shared" si="181"/>
        <v>2026</v>
      </c>
      <c r="C1490" s="129">
        <f t="shared" si="182"/>
        <v>2025</v>
      </c>
      <c r="D1490" s="2" t="s">
        <v>155</v>
      </c>
      <c r="E1490" s="2" t="s">
        <v>155</v>
      </c>
      <c r="F1490" s="39">
        <v>45839</v>
      </c>
      <c r="G1490" s="233">
        <f>DAY(EOMONTH(TA[[#This Row],[Month Year]],0))</f>
        <v>31</v>
      </c>
      <c r="H1490" s="21">
        <v>45851</v>
      </c>
      <c r="I1490" s="41">
        <f>IFERROR(VLOOKUP(TA[[#This Row],[Date]],Raw_Data[[Date]:[Sunset Time (POA&lt;20 W/m2)]],3,0),"")</f>
        <v>0.25208333333333333</v>
      </c>
      <c r="J1490" s="41">
        <f>IFERROR(VLOOKUP(TA[[#This Row],[Date]],Raw_Data[[Date]:[Sunset Time (POA&lt;20 W/m2)]],4,0),"")</f>
        <v>0.78194444444444444</v>
      </c>
      <c r="K1490" s="35">
        <f>IFERROR((TA[[#This Row],[Sunset Time (POA&lt;20 W/m2)]]-TA[[#This Row],[Sunrise Time (POA&gt;20 W/m2)]])*24,"")</f>
        <v>12.716666666666667</v>
      </c>
      <c r="L1490" s="2" t="s">
        <v>294</v>
      </c>
      <c r="M1490" s="42">
        <f>IFERROR(VLOOKUP(TA[[#This Row],[Affected Equipment]],'Basic Data'!$I$2:$K$40,3,0),"")</f>
        <v>1.7241379310344799E-3</v>
      </c>
      <c r="N1490">
        <v>-28</v>
      </c>
      <c r="O1490" t="s">
        <v>137</v>
      </c>
      <c r="P1490" s="127" t="s">
        <v>315</v>
      </c>
      <c r="Q1490" s="126" t="s">
        <v>319</v>
      </c>
      <c r="R1490">
        <v>166</v>
      </c>
      <c r="S1490" s="2">
        <v>91</v>
      </c>
      <c r="T1490" t="s">
        <v>295</v>
      </c>
      <c r="U1490" t="s">
        <v>300</v>
      </c>
      <c r="V1490" t="s">
        <v>298</v>
      </c>
      <c r="W1490" s="41"/>
      <c r="X1490" s="41"/>
      <c r="Y1490" s="34"/>
      <c r="Z1490" s="34"/>
      <c r="AA1490" s="35">
        <f>IF(TA[[#This Row],[Work Start time on Fault]]="NA","",(TA[[#This Row],[Fault Acknowledgement Time ]]-TA[[#This Row],[Fault Time]])*24)</f>
        <v>0</v>
      </c>
      <c r="AB1490" s="35">
        <f>(TA[[#This Row],[Work Start time on Fault]]-TA[[#This Row],[Fault Time]])*24</f>
        <v>0</v>
      </c>
      <c r="AC1490" s="34">
        <f>(TA[[#This Row],[Work Completion time on fault]]-TA[[#This Row],[Fault Time]])*24</f>
        <v>0</v>
      </c>
      <c r="AD1490" s="35">
        <f>IFERROR((TA[[#This Row],[Work Completion time on fault]]-TA[[#This Row],[Fault Time]])*24,"")</f>
        <v>0</v>
      </c>
      <c r="AE1490" t="s">
        <v>328</v>
      </c>
      <c r="AF1490" t="s">
        <v>256</v>
      </c>
      <c r="AG1490" s="2"/>
      <c r="AH1490" s="44">
        <f>1-COS(RADIANS(TA[[#This Row],[Avg. Target Angle during Fault Time (Radians)]]-TA[[#This Row],[Angle of affected equipment ]]))</f>
        <v>0.11705240714107301</v>
      </c>
      <c r="AI1490" s="35">
        <f>IFERROR(TA[[#This Row],[Breakdown Time]]*TA[[#This Row],[Plant Equivalent Weightage]],"")</f>
        <v>0</v>
      </c>
    </row>
    <row r="1491" spans="1:35">
      <c r="A1491" s="2">
        <f t="shared" si="176"/>
        <v>1488</v>
      </c>
      <c r="B1491" s="156">
        <f t="shared" si="181"/>
        <v>2026</v>
      </c>
      <c r="C1491" s="129">
        <f t="shared" si="182"/>
        <v>2025</v>
      </c>
      <c r="D1491" s="2" t="s">
        <v>155</v>
      </c>
      <c r="E1491" s="2" t="s">
        <v>155</v>
      </c>
      <c r="F1491" s="39">
        <v>45839</v>
      </c>
      <c r="G1491" s="233">
        <f>DAY(EOMONTH(TA[[#This Row],[Month Year]],0))</f>
        <v>31</v>
      </c>
      <c r="H1491" s="21">
        <v>45851</v>
      </c>
      <c r="I1491" s="41">
        <f>IFERROR(VLOOKUP(TA[[#This Row],[Date]],Raw_Data[[Date]:[Sunset Time (POA&lt;20 W/m2)]],3,0),"")</f>
        <v>0.25208333333333333</v>
      </c>
      <c r="J1491" s="41">
        <f>IFERROR(VLOOKUP(TA[[#This Row],[Date]],Raw_Data[[Date]:[Sunset Time (POA&lt;20 W/m2)]],4,0),"")</f>
        <v>0.78194444444444444</v>
      </c>
      <c r="K1491" s="35">
        <f>IFERROR((TA[[#This Row],[Sunset Time (POA&lt;20 W/m2)]]-TA[[#This Row],[Sunrise Time (POA&gt;20 W/m2)]])*24,"")</f>
        <v>12.716666666666667</v>
      </c>
      <c r="L1491" s="2" t="s">
        <v>294</v>
      </c>
      <c r="M1491" s="42">
        <f>IFERROR(VLOOKUP(TA[[#This Row],[Affected Equipment]],'Basic Data'!$I$2:$K$40,3,0),"")</f>
        <v>1.7241379310344799E-3</v>
      </c>
      <c r="N1491">
        <v>-28</v>
      </c>
      <c r="O1491" t="s">
        <v>133</v>
      </c>
      <c r="P1491" s="127" t="s">
        <v>316</v>
      </c>
      <c r="Q1491" s="126" t="s">
        <v>316</v>
      </c>
      <c r="R1491">
        <v>117</v>
      </c>
      <c r="S1491" s="2">
        <v>20</v>
      </c>
      <c r="T1491" t="s">
        <v>295</v>
      </c>
      <c r="U1491" t="s">
        <v>300</v>
      </c>
      <c r="V1491" t="s">
        <v>298</v>
      </c>
      <c r="W1491" s="41"/>
      <c r="X1491" s="41"/>
      <c r="Y1491" s="34"/>
      <c r="Z1491" s="34"/>
      <c r="AA1491" s="35">
        <f>IF(TA[[#This Row],[Work Start time on Fault]]="NA","",(TA[[#This Row],[Fault Acknowledgement Time ]]-TA[[#This Row],[Fault Time]])*24)</f>
        <v>0</v>
      </c>
      <c r="AB1491" s="35">
        <f>(TA[[#This Row],[Work Start time on Fault]]-TA[[#This Row],[Fault Time]])*24</f>
        <v>0</v>
      </c>
      <c r="AC1491" s="34">
        <f>(TA[[#This Row],[Work Completion time on fault]]-TA[[#This Row],[Fault Time]])*24</f>
        <v>0</v>
      </c>
      <c r="AD1491" s="35">
        <f>IFERROR((TA[[#This Row],[Work Completion time on fault]]-TA[[#This Row],[Fault Time]])*24,"")</f>
        <v>0</v>
      </c>
      <c r="AE1491" t="s">
        <v>328</v>
      </c>
      <c r="AF1491" t="s">
        <v>256</v>
      </c>
      <c r="AG1491" s="2"/>
      <c r="AH1491" s="44">
        <f>1-COS(RADIANS(TA[[#This Row],[Avg. Target Angle during Fault Time (Radians)]]-TA[[#This Row],[Angle of affected equipment ]]))</f>
        <v>0.11705240714107301</v>
      </c>
      <c r="AI1491" s="35">
        <f>IFERROR(TA[[#This Row],[Breakdown Time]]*TA[[#This Row],[Plant Equivalent Weightage]],"")</f>
        <v>0</v>
      </c>
    </row>
    <row r="1492" spans="1:35">
      <c r="A1492" s="2">
        <f t="shared" si="176"/>
        <v>1489</v>
      </c>
      <c r="B1492" s="156">
        <f t="shared" si="181"/>
        <v>2026</v>
      </c>
      <c r="C1492" s="129">
        <f t="shared" si="182"/>
        <v>2025</v>
      </c>
      <c r="D1492" s="2" t="s">
        <v>155</v>
      </c>
      <c r="E1492" s="2" t="s">
        <v>155</v>
      </c>
      <c r="F1492" s="39">
        <v>45839</v>
      </c>
      <c r="G1492" s="233">
        <f>DAY(EOMONTH(TA[[#This Row],[Month Year]],0))</f>
        <v>31</v>
      </c>
      <c r="H1492" s="21">
        <v>45851</v>
      </c>
      <c r="I1492" s="41">
        <f>IFERROR(VLOOKUP(TA[[#This Row],[Date]],Raw_Data[[Date]:[Sunset Time (POA&lt;20 W/m2)]],3,0),"")</f>
        <v>0.25208333333333333</v>
      </c>
      <c r="J1492" s="41">
        <f>IFERROR(VLOOKUP(TA[[#This Row],[Date]],Raw_Data[[Date]:[Sunset Time (POA&lt;20 W/m2)]],4,0),"")</f>
        <v>0.78194444444444444</v>
      </c>
      <c r="K1492" s="35">
        <f>IFERROR((TA[[#This Row],[Sunset Time (POA&lt;20 W/m2)]]-TA[[#This Row],[Sunrise Time (POA&gt;20 W/m2)]])*24,"")</f>
        <v>12.716666666666667</v>
      </c>
      <c r="L1492" s="2" t="s">
        <v>294</v>
      </c>
      <c r="M1492" s="42">
        <f>IFERROR(VLOOKUP(TA[[#This Row],[Affected Equipment]],'Basic Data'!$I$2:$K$40,3,0),"")</f>
        <v>1.7241379310344799E-3</v>
      </c>
      <c r="N1492">
        <v>-28</v>
      </c>
      <c r="O1492" t="s">
        <v>133</v>
      </c>
      <c r="P1492" s="127" t="s">
        <v>316</v>
      </c>
      <c r="Q1492" s="126" t="s">
        <v>316</v>
      </c>
      <c r="R1492">
        <v>118</v>
      </c>
      <c r="S1492" s="2">
        <v>22</v>
      </c>
      <c r="T1492" t="s">
        <v>295</v>
      </c>
      <c r="U1492" t="s">
        <v>300</v>
      </c>
      <c r="V1492" t="s">
        <v>298</v>
      </c>
      <c r="W1492" s="41"/>
      <c r="X1492" s="41"/>
      <c r="Y1492" s="34"/>
      <c r="Z1492" s="34"/>
      <c r="AA1492" s="35">
        <f>IF(TA[[#This Row],[Work Start time on Fault]]="NA","",(TA[[#This Row],[Fault Acknowledgement Time ]]-TA[[#This Row],[Fault Time]])*24)</f>
        <v>0</v>
      </c>
      <c r="AB1492" s="35">
        <f>(TA[[#This Row],[Work Start time on Fault]]-TA[[#This Row],[Fault Time]])*24</f>
        <v>0</v>
      </c>
      <c r="AC1492" s="34">
        <f>(TA[[#This Row],[Work Completion time on fault]]-TA[[#This Row],[Fault Time]])*24</f>
        <v>0</v>
      </c>
      <c r="AD1492" s="35">
        <f>IFERROR((TA[[#This Row],[Work Completion time on fault]]-TA[[#This Row],[Fault Time]])*24,"")</f>
        <v>0</v>
      </c>
      <c r="AE1492" t="s">
        <v>328</v>
      </c>
      <c r="AF1492" t="s">
        <v>256</v>
      </c>
      <c r="AG1492" s="2"/>
      <c r="AH1492" s="44">
        <f>1-COS(RADIANS(TA[[#This Row],[Avg. Target Angle during Fault Time (Radians)]]-TA[[#This Row],[Angle of affected equipment ]]))</f>
        <v>0.11705240714107301</v>
      </c>
      <c r="AI1492" s="35">
        <f>IFERROR(TA[[#This Row],[Breakdown Time]]*TA[[#This Row],[Plant Equivalent Weightage]],"")</f>
        <v>0</v>
      </c>
    </row>
    <row r="1493" spans="1:35">
      <c r="A1493" s="2">
        <f t="shared" si="176"/>
        <v>1490</v>
      </c>
      <c r="B1493" s="156">
        <f t="shared" si="181"/>
        <v>2026</v>
      </c>
      <c r="C1493" s="129">
        <f t="shared" si="182"/>
        <v>2025</v>
      </c>
      <c r="D1493" s="2" t="s">
        <v>155</v>
      </c>
      <c r="E1493" s="2" t="s">
        <v>155</v>
      </c>
      <c r="F1493" s="39">
        <v>45839</v>
      </c>
      <c r="G1493" s="233">
        <f>DAY(EOMONTH(TA[[#This Row],[Month Year]],0))</f>
        <v>31</v>
      </c>
      <c r="H1493" s="21">
        <v>45851</v>
      </c>
      <c r="I1493" s="41">
        <f>IFERROR(VLOOKUP(TA[[#This Row],[Date]],Raw_Data[[Date]:[Sunset Time (POA&lt;20 W/m2)]],3,0),"")</f>
        <v>0.25208333333333333</v>
      </c>
      <c r="J1493" s="41">
        <f>IFERROR(VLOOKUP(TA[[#This Row],[Date]],Raw_Data[[Date]:[Sunset Time (POA&lt;20 W/m2)]],4,0),"")</f>
        <v>0.78194444444444444</v>
      </c>
      <c r="K1493" s="35">
        <f>IFERROR((TA[[#This Row],[Sunset Time (POA&lt;20 W/m2)]]-TA[[#This Row],[Sunrise Time (POA&gt;20 W/m2)]])*24,"")</f>
        <v>12.716666666666667</v>
      </c>
      <c r="L1493" s="2" t="s">
        <v>296</v>
      </c>
      <c r="M1493" s="42">
        <f>IFERROR(VLOOKUP(TA[[#This Row],[Affected Equipment]],'Basic Data'!$I$2:$K$40,3,0),"")</f>
        <v>8.6206896551724102E-3</v>
      </c>
      <c r="N1493">
        <v>-28</v>
      </c>
      <c r="O1493" t="s">
        <v>135</v>
      </c>
      <c r="P1493" s="22" t="s">
        <v>323</v>
      </c>
      <c r="Q1493" s="2" t="s">
        <v>329</v>
      </c>
      <c r="R1493">
        <v>45</v>
      </c>
      <c r="S1493" s="2">
        <v>8</v>
      </c>
      <c r="T1493" t="s">
        <v>297</v>
      </c>
      <c r="U1493" t="s">
        <v>300</v>
      </c>
      <c r="V1493" t="s">
        <v>301</v>
      </c>
      <c r="W1493" s="41"/>
      <c r="X1493" s="41"/>
      <c r="Y1493" s="34"/>
      <c r="Z1493" s="34"/>
      <c r="AA1493" s="35">
        <f>IF(TA[[#This Row],[Work Start time on Fault]]="NA","",(TA[[#This Row],[Fault Acknowledgement Time ]]-TA[[#This Row],[Fault Time]])*24)</f>
        <v>0</v>
      </c>
      <c r="AB1493" s="35">
        <f>(TA[[#This Row],[Work Start time on Fault]]-TA[[#This Row],[Fault Time]])*24</f>
        <v>0</v>
      </c>
      <c r="AC1493" s="34">
        <f>(TA[[#This Row],[Work Completion time on fault]]-TA[[#This Row],[Fault Time]])*24</f>
        <v>0</v>
      </c>
      <c r="AD1493" s="35">
        <f>IFERROR((TA[[#This Row],[Work Completion time on fault]]-TA[[#This Row],[Fault Time]])*24,"")</f>
        <v>0</v>
      </c>
      <c r="AE1493" t="s">
        <v>328</v>
      </c>
      <c r="AF1493" t="s">
        <v>256</v>
      </c>
      <c r="AG1493" s="2"/>
      <c r="AH1493" s="44">
        <f>1-COS(RADIANS(TA[[#This Row],[Avg. Target Angle during Fault Time (Radians)]]-TA[[#This Row],[Angle of affected equipment ]]))</f>
        <v>0.11705240714107301</v>
      </c>
      <c r="AI1493" s="35">
        <f>IFERROR(TA[[#This Row],[Breakdown Time]]*TA[[#This Row],[Plant Equivalent Weightage]],"")</f>
        <v>0</v>
      </c>
    </row>
    <row r="1494" spans="1:35">
      <c r="A1494" s="2">
        <f t="shared" si="176"/>
        <v>1491</v>
      </c>
      <c r="B1494" s="156">
        <f t="shared" si="181"/>
        <v>2026</v>
      </c>
      <c r="C1494" s="129">
        <f t="shared" si="182"/>
        <v>2025</v>
      </c>
      <c r="D1494" s="2" t="s">
        <v>155</v>
      </c>
      <c r="E1494" s="2" t="s">
        <v>155</v>
      </c>
      <c r="F1494" s="39">
        <v>45839</v>
      </c>
      <c r="G1494" s="233">
        <f>DAY(EOMONTH(TA[[#This Row],[Month Year]],0))</f>
        <v>31</v>
      </c>
      <c r="H1494" s="21">
        <v>45851</v>
      </c>
      <c r="I1494" s="41">
        <f>IFERROR(VLOOKUP(TA[[#This Row],[Date]],Raw_Data[[Date]:[Sunset Time (POA&lt;20 W/m2)]],3,0),"")</f>
        <v>0.25208333333333333</v>
      </c>
      <c r="J1494" s="41">
        <f>IFERROR(VLOOKUP(TA[[#This Row],[Date]],Raw_Data[[Date]:[Sunset Time (POA&lt;20 W/m2)]],4,0),"")</f>
        <v>0.78194444444444444</v>
      </c>
      <c r="K1494" s="35">
        <f>IFERROR((TA[[#This Row],[Sunset Time (POA&lt;20 W/m2)]]-TA[[#This Row],[Sunrise Time (POA&gt;20 W/m2)]])*24,"")</f>
        <v>12.716666666666667</v>
      </c>
      <c r="L1494" s="2" t="s">
        <v>296</v>
      </c>
      <c r="M1494" s="42">
        <f>IFERROR(VLOOKUP(TA[[#This Row],[Affected Equipment]],'Basic Data'!$I$2:$K$40,3,0),"")</f>
        <v>8.6206896551724102E-3</v>
      </c>
      <c r="N1494">
        <v>-28</v>
      </c>
      <c r="O1494" t="s">
        <v>135</v>
      </c>
      <c r="P1494" s="22" t="s">
        <v>323</v>
      </c>
      <c r="Q1494" s="2" t="s">
        <v>329</v>
      </c>
      <c r="R1494">
        <v>47</v>
      </c>
      <c r="S1494" s="2">
        <v>18</v>
      </c>
      <c r="T1494" t="s">
        <v>297</v>
      </c>
      <c r="U1494" t="s">
        <v>300</v>
      </c>
      <c r="V1494" t="s">
        <v>301</v>
      </c>
      <c r="W1494" s="41"/>
      <c r="X1494" s="41"/>
      <c r="Y1494" s="34"/>
      <c r="Z1494" s="34"/>
      <c r="AA1494" s="35">
        <f>IF(TA[[#This Row],[Work Start time on Fault]]="NA","",(TA[[#This Row],[Fault Acknowledgement Time ]]-TA[[#This Row],[Fault Time]])*24)</f>
        <v>0</v>
      </c>
      <c r="AB1494" s="35">
        <f>(TA[[#This Row],[Work Start time on Fault]]-TA[[#This Row],[Fault Time]])*24</f>
        <v>0</v>
      </c>
      <c r="AC1494" s="34">
        <f>(TA[[#This Row],[Work Completion time on fault]]-TA[[#This Row],[Fault Time]])*24</f>
        <v>0</v>
      </c>
      <c r="AD1494" s="35">
        <f>IFERROR((TA[[#This Row],[Work Completion time on fault]]-TA[[#This Row],[Fault Time]])*24,"")</f>
        <v>0</v>
      </c>
      <c r="AE1494" t="s">
        <v>328</v>
      </c>
      <c r="AF1494" t="s">
        <v>256</v>
      </c>
      <c r="AG1494" s="2"/>
      <c r="AH1494" s="44">
        <f>1-COS(RADIANS(TA[[#This Row],[Avg. Target Angle during Fault Time (Radians)]]-TA[[#This Row],[Angle of affected equipment ]]))</f>
        <v>0.11705240714107301</v>
      </c>
      <c r="AI1494" s="35">
        <f>IFERROR(TA[[#This Row],[Breakdown Time]]*TA[[#This Row],[Plant Equivalent Weightage]],"")</f>
        <v>0</v>
      </c>
    </row>
    <row r="1495" spans="1:35">
      <c r="A1495" s="2">
        <f t="shared" si="176"/>
        <v>1492</v>
      </c>
      <c r="B1495" s="156">
        <f t="shared" si="181"/>
        <v>2026</v>
      </c>
      <c r="C1495" s="129">
        <f t="shared" si="182"/>
        <v>2025</v>
      </c>
      <c r="D1495" s="2" t="s">
        <v>155</v>
      </c>
      <c r="E1495" s="2" t="s">
        <v>155</v>
      </c>
      <c r="F1495" s="39">
        <v>45839</v>
      </c>
      <c r="G1495" s="233">
        <f>DAY(EOMONTH(TA[[#This Row],[Month Year]],0))</f>
        <v>31</v>
      </c>
      <c r="H1495" s="21">
        <v>45851</v>
      </c>
      <c r="I1495" s="41">
        <f>IFERROR(VLOOKUP(TA[[#This Row],[Date]],Raw_Data[[Date]:[Sunset Time (POA&lt;20 W/m2)]],3,0),"")</f>
        <v>0.25208333333333333</v>
      </c>
      <c r="J1495" s="41">
        <f>IFERROR(VLOOKUP(TA[[#This Row],[Date]],Raw_Data[[Date]:[Sunset Time (POA&lt;20 W/m2)]],4,0),"")</f>
        <v>0.78194444444444444</v>
      </c>
      <c r="K1495" s="35">
        <f>IFERROR((TA[[#This Row],[Sunset Time (POA&lt;20 W/m2)]]-TA[[#This Row],[Sunrise Time (POA&gt;20 W/m2)]])*24,"")</f>
        <v>12.716666666666667</v>
      </c>
      <c r="L1495" s="2" t="s">
        <v>296</v>
      </c>
      <c r="M1495" s="42">
        <f>IFERROR(VLOOKUP(TA[[#This Row],[Affected Equipment]],'Basic Data'!$I$2:$K$40,3,0),"")</f>
        <v>8.6206896551724102E-3</v>
      </c>
      <c r="N1495">
        <v>-28</v>
      </c>
      <c r="O1495" t="s">
        <v>134</v>
      </c>
      <c r="P1495" s="22" t="s">
        <v>330</v>
      </c>
      <c r="Q1495" s="2" t="s">
        <v>323</v>
      </c>
      <c r="R1495">
        <v>30</v>
      </c>
      <c r="S1495" s="2">
        <v>57</v>
      </c>
      <c r="T1495" t="s">
        <v>297</v>
      </c>
      <c r="U1495" t="s">
        <v>300</v>
      </c>
      <c r="V1495" t="s">
        <v>301</v>
      </c>
      <c r="W1495" s="41"/>
      <c r="X1495" s="41"/>
      <c r="Y1495" s="34"/>
      <c r="Z1495" s="34"/>
      <c r="AA1495" s="35">
        <f>IF(TA[[#This Row],[Work Start time on Fault]]="NA","",(TA[[#This Row],[Fault Acknowledgement Time ]]-TA[[#This Row],[Fault Time]])*24)</f>
        <v>0</v>
      </c>
      <c r="AB1495" s="35">
        <f>(TA[[#This Row],[Work Start time on Fault]]-TA[[#This Row],[Fault Time]])*24</f>
        <v>0</v>
      </c>
      <c r="AC1495" s="34">
        <f>(TA[[#This Row],[Work Completion time on fault]]-TA[[#This Row],[Fault Time]])*24</f>
        <v>0</v>
      </c>
      <c r="AD1495" s="35">
        <f>IFERROR((TA[[#This Row],[Work Completion time on fault]]-TA[[#This Row],[Fault Time]])*24,"")</f>
        <v>0</v>
      </c>
      <c r="AE1495" t="s">
        <v>328</v>
      </c>
      <c r="AF1495" t="s">
        <v>256</v>
      </c>
      <c r="AG1495" s="2"/>
      <c r="AH1495" s="44">
        <f>1-COS(RADIANS(TA[[#This Row],[Avg. Target Angle during Fault Time (Radians)]]-TA[[#This Row],[Angle of affected equipment ]]))</f>
        <v>0.11705240714107301</v>
      </c>
      <c r="AI1495" s="35">
        <f>IFERROR(TA[[#This Row],[Breakdown Time]]*TA[[#This Row],[Plant Equivalent Weightage]],"")</f>
        <v>0</v>
      </c>
    </row>
    <row r="1496" spans="1:35">
      <c r="A1496" s="2">
        <f t="shared" si="176"/>
        <v>1493</v>
      </c>
      <c r="B1496" s="156">
        <f t="shared" si="181"/>
        <v>2026</v>
      </c>
      <c r="C1496" s="129">
        <f t="shared" si="182"/>
        <v>2025</v>
      </c>
      <c r="D1496" s="2" t="s">
        <v>155</v>
      </c>
      <c r="E1496" s="2" t="s">
        <v>155</v>
      </c>
      <c r="F1496" s="39">
        <v>45839</v>
      </c>
      <c r="G1496" s="233">
        <f>DAY(EOMONTH(TA[[#This Row],[Month Year]],0))</f>
        <v>31</v>
      </c>
      <c r="H1496" s="21">
        <v>45851</v>
      </c>
      <c r="I1496" s="41">
        <f>IFERROR(VLOOKUP(TA[[#This Row],[Date]],Raw_Data[[Date]:[Sunset Time (POA&lt;20 W/m2)]],3,0),"")</f>
        <v>0.25208333333333333</v>
      </c>
      <c r="J1496" s="41">
        <f>IFERROR(VLOOKUP(TA[[#This Row],[Date]],Raw_Data[[Date]:[Sunset Time (POA&lt;20 W/m2)]],4,0),"")</f>
        <v>0.78194444444444444</v>
      </c>
      <c r="K1496" s="35">
        <f>IFERROR((TA[[#This Row],[Sunset Time (POA&lt;20 W/m2)]]-TA[[#This Row],[Sunrise Time (POA&gt;20 W/m2)]])*24,"")</f>
        <v>12.716666666666667</v>
      </c>
      <c r="L1496" s="2" t="s">
        <v>296</v>
      </c>
      <c r="M1496" s="42">
        <f>IFERROR(VLOOKUP(TA[[#This Row],[Affected Equipment]],'Basic Data'!$I$2:$K$40,3,0),"")</f>
        <v>8.6206896551724102E-3</v>
      </c>
      <c r="N1496">
        <v>-28</v>
      </c>
      <c r="O1496" t="s">
        <v>134</v>
      </c>
      <c r="P1496" s="22" t="s">
        <v>330</v>
      </c>
      <c r="Q1496" s="2" t="s">
        <v>323</v>
      </c>
      <c r="R1496">
        <v>31</v>
      </c>
      <c r="S1496" s="2">
        <v>61</v>
      </c>
      <c r="T1496" t="s">
        <v>297</v>
      </c>
      <c r="U1496" t="s">
        <v>300</v>
      </c>
      <c r="V1496" t="s">
        <v>301</v>
      </c>
      <c r="W1496" s="41"/>
      <c r="X1496" s="41"/>
      <c r="Y1496" s="34"/>
      <c r="Z1496" s="34"/>
      <c r="AA1496" s="35">
        <f>IF(TA[[#This Row],[Work Start time on Fault]]="NA","",(TA[[#This Row],[Fault Acknowledgement Time ]]-TA[[#This Row],[Fault Time]])*24)</f>
        <v>0</v>
      </c>
      <c r="AB1496" s="35">
        <f>(TA[[#This Row],[Work Start time on Fault]]-TA[[#This Row],[Fault Time]])*24</f>
        <v>0</v>
      </c>
      <c r="AC1496" s="34">
        <f>(TA[[#This Row],[Work Completion time on fault]]-TA[[#This Row],[Fault Time]])*24</f>
        <v>0</v>
      </c>
      <c r="AD1496" s="35">
        <f>IFERROR((TA[[#This Row],[Work Completion time on fault]]-TA[[#This Row],[Fault Time]])*24,"")</f>
        <v>0</v>
      </c>
      <c r="AE1496" t="s">
        <v>328</v>
      </c>
      <c r="AF1496" t="s">
        <v>256</v>
      </c>
      <c r="AG1496" s="2"/>
      <c r="AH1496" s="44">
        <f>1-COS(RADIANS(TA[[#This Row],[Avg. Target Angle during Fault Time (Radians)]]-TA[[#This Row],[Angle of affected equipment ]]))</f>
        <v>0.11705240714107301</v>
      </c>
      <c r="AI1496" s="35">
        <f>IFERROR(TA[[#This Row],[Breakdown Time]]*TA[[#This Row],[Plant Equivalent Weightage]],"")</f>
        <v>0</v>
      </c>
    </row>
    <row r="1497" spans="1:35">
      <c r="A1497" s="2">
        <f t="shared" si="176"/>
        <v>1494</v>
      </c>
      <c r="B1497" s="156">
        <f t="shared" si="181"/>
        <v>2026</v>
      </c>
      <c r="C1497" s="129">
        <f t="shared" si="182"/>
        <v>2025</v>
      </c>
      <c r="D1497" s="2" t="s">
        <v>155</v>
      </c>
      <c r="E1497" s="2" t="s">
        <v>155</v>
      </c>
      <c r="F1497" s="39">
        <v>45839</v>
      </c>
      <c r="G1497" s="233">
        <f>DAY(EOMONTH(TA[[#This Row],[Month Year]],0))</f>
        <v>31</v>
      </c>
      <c r="H1497" s="21">
        <v>45851</v>
      </c>
      <c r="I1497" s="41">
        <f>IFERROR(VLOOKUP(TA[[#This Row],[Date]],Raw_Data[[Date]:[Sunset Time (POA&lt;20 W/m2)]],3,0),"")</f>
        <v>0.25208333333333333</v>
      </c>
      <c r="J1497" s="41">
        <f>IFERROR(VLOOKUP(TA[[#This Row],[Date]],Raw_Data[[Date]:[Sunset Time (POA&lt;20 W/m2)]],4,0),"")</f>
        <v>0.78194444444444444</v>
      </c>
      <c r="K1497" s="35">
        <f>IFERROR((TA[[#This Row],[Sunset Time (POA&lt;20 W/m2)]]-TA[[#This Row],[Sunrise Time (POA&gt;20 W/m2)]])*24,"")</f>
        <v>12.716666666666667</v>
      </c>
      <c r="L1497" s="2" t="s">
        <v>312</v>
      </c>
      <c r="M1497" s="42">
        <f>IFERROR(VLOOKUP(TA[[#This Row],[Affected Equipment]],'Basic Data'!$I$2:$K$40,3,0),"")</f>
        <v>5.74712643678161E-3</v>
      </c>
      <c r="N1497">
        <v>-28</v>
      </c>
      <c r="O1497" t="s">
        <v>133</v>
      </c>
      <c r="P1497" s="22" t="s">
        <v>330</v>
      </c>
      <c r="Q1497" s="2" t="s">
        <v>323</v>
      </c>
      <c r="R1497">
        <v>26</v>
      </c>
      <c r="S1497" s="2">
        <v>37</v>
      </c>
      <c r="T1497" t="s">
        <v>297</v>
      </c>
      <c r="U1497" t="s">
        <v>300</v>
      </c>
      <c r="V1497" t="s">
        <v>301</v>
      </c>
      <c r="W1497" s="41"/>
      <c r="X1497" s="41"/>
      <c r="Y1497" s="34"/>
      <c r="Z1497" s="34"/>
      <c r="AA1497" s="35">
        <f>IF(TA[[#This Row],[Work Start time on Fault]]="NA","",(TA[[#This Row],[Fault Acknowledgement Time ]]-TA[[#This Row],[Fault Time]])*24)</f>
        <v>0</v>
      </c>
      <c r="AB1497" s="35">
        <f>(TA[[#This Row],[Work Start time on Fault]]-TA[[#This Row],[Fault Time]])*24</f>
        <v>0</v>
      </c>
      <c r="AC1497" s="34">
        <f>(TA[[#This Row],[Work Completion time on fault]]-TA[[#This Row],[Fault Time]])*24</f>
        <v>0</v>
      </c>
      <c r="AD1497" s="35">
        <f>IFERROR((TA[[#This Row],[Work Completion time on fault]]-TA[[#This Row],[Fault Time]])*24,"")</f>
        <v>0</v>
      </c>
      <c r="AE1497" t="s">
        <v>328</v>
      </c>
      <c r="AF1497" t="s">
        <v>256</v>
      </c>
      <c r="AG1497" s="2"/>
      <c r="AH1497" s="44">
        <f>1-COS(RADIANS(TA[[#This Row],[Avg. Target Angle during Fault Time (Radians)]]-TA[[#This Row],[Angle of affected equipment ]]))</f>
        <v>0.11705240714107301</v>
      </c>
      <c r="AI1497" s="35">
        <f>IFERROR(TA[[#This Row],[Breakdown Time]]*TA[[#This Row],[Plant Equivalent Weightage]],"")</f>
        <v>0</v>
      </c>
    </row>
    <row r="1498" spans="1:35">
      <c r="A1498" s="2">
        <f t="shared" si="176"/>
        <v>1495</v>
      </c>
      <c r="B1498" s="156">
        <f t="shared" si="181"/>
        <v>2026</v>
      </c>
      <c r="C1498" s="129">
        <f t="shared" si="182"/>
        <v>2025</v>
      </c>
      <c r="D1498" s="2" t="s">
        <v>155</v>
      </c>
      <c r="E1498" s="2" t="s">
        <v>155</v>
      </c>
      <c r="F1498" s="39">
        <v>45839</v>
      </c>
      <c r="G1498" s="233">
        <f>DAY(EOMONTH(TA[[#This Row],[Month Year]],0))</f>
        <v>31</v>
      </c>
      <c r="H1498" s="21">
        <v>45851</v>
      </c>
      <c r="I1498" s="41">
        <f>IFERROR(VLOOKUP(TA[[#This Row],[Date]],Raw_Data[[Date]:[Sunset Time (POA&lt;20 W/m2)]],3,0),"")</f>
        <v>0.25208333333333333</v>
      </c>
      <c r="J1498" s="41">
        <f>IFERROR(VLOOKUP(TA[[#This Row],[Date]],Raw_Data[[Date]:[Sunset Time (POA&lt;20 W/m2)]],4,0),"")</f>
        <v>0.78194444444444444</v>
      </c>
      <c r="K1498" s="35">
        <f>IFERROR((TA[[#This Row],[Sunset Time (POA&lt;20 W/m2)]]-TA[[#This Row],[Sunrise Time (POA&gt;20 W/m2)]])*24,"")</f>
        <v>12.716666666666667</v>
      </c>
      <c r="L1498" s="2" t="s">
        <v>312</v>
      </c>
      <c r="M1498" s="42">
        <f>IFERROR(VLOOKUP(TA[[#This Row],[Affected Equipment]],'Basic Data'!$I$2:$K$40,3,0),"")</f>
        <v>5.74712643678161E-3</v>
      </c>
      <c r="N1498">
        <v>-28</v>
      </c>
      <c r="O1498" t="s">
        <v>133</v>
      </c>
      <c r="P1498" s="22" t="s">
        <v>330</v>
      </c>
      <c r="Q1498" s="2" t="s">
        <v>323</v>
      </c>
      <c r="R1498">
        <v>27</v>
      </c>
      <c r="S1498" s="2">
        <v>42</v>
      </c>
      <c r="T1498" t="s">
        <v>297</v>
      </c>
      <c r="U1498" t="s">
        <v>300</v>
      </c>
      <c r="V1498" t="s">
        <v>301</v>
      </c>
      <c r="W1498" s="41">
        <f>IFERROR(VLOOKUP(TA[[#This Row],[Date]],Raw_Data[[Date]:[Sunset Time (POA&lt;20 W/m2)]],3,0),"")</f>
        <v>0.25208333333333333</v>
      </c>
      <c r="X1498" s="41">
        <f>IFERROR(VLOOKUP(TA[[#This Row],[Date]],Raw_Data[[Date]:[Sunset Time (POA&lt;20 W/m2)]],3,0),"")</f>
        <v>0.25208333333333333</v>
      </c>
      <c r="Y1498" s="34"/>
      <c r="Z1498" s="34">
        <v>0.76041666666666663</v>
      </c>
      <c r="AA1498" s="35">
        <f>IF(TA[[#This Row],[Work Start time on Fault]]="NA","",(TA[[#This Row],[Fault Acknowledgement Time ]]-TA[[#This Row],[Fault Time]])*24)</f>
        <v>0</v>
      </c>
      <c r="AB1498" s="35">
        <f>(TA[[#This Row],[Work Start time on Fault]]-TA[[#This Row],[Fault Time]])*24</f>
        <v>-6.05</v>
      </c>
      <c r="AC1498" s="34">
        <f>(TA[[#This Row],[Work Completion time on fault]]-TA[[#This Row],[Fault Time]])*24</f>
        <v>12.2</v>
      </c>
      <c r="AD1498" s="35">
        <f>IFERROR((TA[[#This Row],[Work Completion time on fault]]-TA[[#This Row],[Fault Time]])*24,"")</f>
        <v>12.2</v>
      </c>
      <c r="AE1498" t="s">
        <v>309</v>
      </c>
      <c r="AF1498" t="s">
        <v>256</v>
      </c>
      <c r="AG1498" s="2"/>
      <c r="AH1498" s="44">
        <f>1-COS(RADIANS(TA[[#This Row],[Avg. Target Angle during Fault Time (Radians)]]-TA[[#This Row],[Angle of affected equipment ]]))</f>
        <v>0.11705240714107301</v>
      </c>
      <c r="AI1498" s="35">
        <f>IFERROR(TA[[#This Row],[Breakdown Time]]*TA[[#This Row],[Plant Equivalent Weightage]],"")</f>
        <v>7.0114942528735638E-2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 L1330:L1336 L1343:L1349 L1356:L1362 L1369:L1375 L1382:L1388 L1395:L1401 L1408:L1414 L1421:L1427 L1434:L1440 L1447:L1453 L1460:L1466 L1473:L1479 L1486:L1492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 T1330:T1336 T1343:T1349 T1356:T1362 T1369:T1375 T1382:T1388 T1395:T1401 T1408:T1414 T1421:T1427 T1434:T1440 T1447:T1453 T1460:T1466 T1473:T1479 T1486:T1492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 O1330:O1336 O1343:O1349 O1356:O1362 O1369:O1375 O1382:O1388 O1395:O1401 O1408:O1414 O1421:O1427 O1434:O1440 O1447:O1453 O1460:O1466 O1473:O1479 O1486:O1492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AF4:AF1498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P30" activePane="bottomRight" state="frozen"/>
      <selection pane="topRight" activeCell="I2" sqref="I2"/>
      <selection pane="bottomLeft" activeCell="A3" sqref="A3"/>
      <selection pane="bottomRight" activeCell="V36" sqref="V36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5.1406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23.28515625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514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503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504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505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506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512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513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514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514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514</v>
      </c>
      <c r="S40" s="24">
        <v>0.66666666666666663</v>
      </c>
      <c r="T40" s="24">
        <v>0.66666666666666663</v>
      </c>
      <c r="U40" s="24">
        <v>0.6875</v>
      </c>
      <c r="V40" s="24">
        <v>0.73124999999999996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1.5499999999999998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1.5499999999999998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515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2026</v>
      </c>
      <c r="C43" s="129">
        <f t="shared" si="2"/>
        <v>2025</v>
      </c>
      <c r="D43" t="s">
        <v>155</v>
      </c>
      <c r="E43" s="17" t="s">
        <v>155</v>
      </c>
      <c r="F43" s="25">
        <v>45810</v>
      </c>
      <c r="G43" s="17">
        <f>DAY(EOMONTH(GA[[#This Row],[Month Year]],0))</f>
        <v>30</v>
      </c>
      <c r="H43" s="26">
        <v>45839</v>
      </c>
      <c r="I43" s="31">
        <f>IFERROR(VLOOKUP(GA[[#This Row],[Date]],Raw_Data[[#All],[Date]:[Sunset Time (POA&lt;20 W/m2)]],3,0),"")</f>
        <v>0.25833333333333336</v>
      </c>
      <c r="J43" s="31">
        <f>IFERROR(VLOOKUP(GA[[#This Row],[Date]],Raw_Data[[#All],[Date]:[Sunset Time (POA&lt;20 W/m2)]],4,0),"")</f>
        <v>0.77083333333333337</v>
      </c>
      <c r="K43" s="30">
        <f>IFERROR((GA[[#This Row],[Sunset Time (POA&lt;20 W/m2)]]-GA[[#This Row],[Sunrise Time (POA&gt;20 W/m2)]])*24,"")</f>
        <v>12.299999999999999</v>
      </c>
      <c r="L43" s="17" t="s">
        <v>334</v>
      </c>
      <c r="M43" s="17">
        <f>IFERROR(VLOOKUP(GA[[#This Row],[Affceted Equipment]],'Basic Data'!$A$1:$B$113,2,0),"")</f>
        <v>11710.44</v>
      </c>
      <c r="N43" s="17" t="s">
        <v>335</v>
      </c>
      <c r="O43" s="1" t="s">
        <v>277</v>
      </c>
      <c r="P43" s="28">
        <f>IFERROR(VLOOKUP(GA[[#This Row],[Affceted Equipment]],'Basic Data'!$A$2:$C$118,3,0),"")</f>
        <v>1</v>
      </c>
      <c r="Q43" s="17" t="s">
        <v>258</v>
      </c>
      <c r="R43" t="s">
        <v>492</v>
      </c>
      <c r="S43" s="24">
        <v>0.59791666666666665</v>
      </c>
      <c r="T43" s="24">
        <v>0.59791666666666665</v>
      </c>
      <c r="U43" s="24">
        <v>0.60763888888888884</v>
      </c>
      <c r="V43" s="24">
        <v>0.63541666666666663</v>
      </c>
      <c r="W43" s="34">
        <f>(GA[[#This Row],[Acknowledgemnet Time ]]-GA[[#This Row],[Fault Time]])*24</f>
        <v>0</v>
      </c>
      <c r="X43" s="35">
        <f>(GA[[#This Row],[Work Start time on Fault]]-GA[[#This Row],[Fault Time]])*24</f>
        <v>0.2333333333333325</v>
      </c>
      <c r="Y43" s="35">
        <f>(GA[[#This Row],[Work Completiuon time on fualt]]-GA[[#This Row],[Fault Time]])*24</f>
        <v>0.89999999999999947</v>
      </c>
      <c r="Z43" s="2" t="s">
        <v>337</v>
      </c>
      <c r="AA43" s="2" t="s">
        <v>249</v>
      </c>
      <c r="AB43" s="2">
        <f>IFERROR(GA[[#This Row],[Plant Equivalent Weightage]]*GA[[#This Row],[Resolution Time]],"")</f>
        <v>0.89999999999999947</v>
      </c>
      <c r="AC43" s="2">
        <v>506</v>
      </c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1900</v>
      </c>
      <c r="C44" s="129">
        <f t="shared" si="2"/>
        <v>1900</v>
      </c>
      <c r="I44" s="31" t="str">
        <f>IFERROR(VLOOKUP(GA[[#This Row],[Date]],Raw_Data[[#All],[Date]:[Sunset Time (POA&lt;20 W/m2)]],3,0),"")</f>
        <v/>
      </c>
      <c r="J44" s="31" t="str">
        <f>IFERROR(VLOOKUP(GA[[#This Row],[Date]],Raw_Data[[#All],[Date]:[Sunset Time (POA&lt;20 W/m2)]],4,0),"")</f>
        <v/>
      </c>
      <c r="K44" s="30" t="str">
        <f>IFERROR((GA[[#This Row],[Sunset Time (POA&lt;20 W/m2)]]-GA[[#This Row],[Sunrise Time (POA&gt;20 W/m2)]])*24,"")</f>
        <v/>
      </c>
      <c r="M44" s="17" t="str">
        <f>IFERROR(VLOOKUP(GA[[#This Row],[Affceted Equipment]],'Basic Data'!$A$1:$B$113,2,0),"")</f>
        <v/>
      </c>
      <c r="P44" s="28" t="str">
        <f>IFERROR(VLOOKUP(GA[[#This Row],[Affceted Equipment]],'Basic Data'!$A$2:$C$118,3,0),"")</f>
        <v/>
      </c>
      <c r="Q44" s="2"/>
      <c r="W44" s="34"/>
      <c r="X44" s="35"/>
      <c r="Y44" s="35"/>
      <c r="Z44" s="2"/>
      <c r="AA44" s="2"/>
      <c r="AB44" s="2" t="str">
        <f>IFERROR(GA[[#This Row],[Plant Equivalent Weightage]]*GA[[#This Row],[Resolution Time]],"")</f>
        <v/>
      </c>
      <c r="AC44" s="2"/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3"/>
  <sheetViews>
    <sheetView topLeftCell="A2" workbookViewId="0">
      <pane xSplit="8" ySplit="1" topLeftCell="I88" activePane="bottomRight" state="frozen"/>
      <selection pane="topRight" activeCell="I2" sqref="I2"/>
      <selection pane="bottomLeft" activeCell="A3" sqref="A3"/>
      <selection pane="bottomRight" activeCell="H97" sqref="H97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03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03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M94">
        <v>4221</v>
      </c>
      <c r="Q94" s="2">
        <f>SUM(MC[[#This Row],[IC1_Inv1_MC]:[IC2_Inv2_MC]])</f>
        <v>4221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I95">
        <v>17</v>
      </c>
      <c r="J95" t="s">
        <v>360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I96">
        <v>17</v>
      </c>
      <c r="J96" t="s">
        <v>360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D97" s="2" t="s">
        <v>224</v>
      </c>
      <c r="E97" s="2" t="s">
        <v>224</v>
      </c>
      <c r="F97" s="18">
        <v>45839</v>
      </c>
      <c r="G97" s="2">
        <f t="shared" si="167"/>
        <v>31</v>
      </c>
      <c r="H97" s="19">
        <f t="shared" si="168"/>
        <v>45839</v>
      </c>
      <c r="I97">
        <v>17</v>
      </c>
      <c r="J97" t="s">
        <v>360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D98" s="2" t="s">
        <v>224</v>
      </c>
      <c r="E98" s="2" t="s">
        <v>224</v>
      </c>
      <c r="F98" s="18">
        <v>45839</v>
      </c>
      <c r="G98" s="2">
        <f t="shared" si="167"/>
        <v>31</v>
      </c>
      <c r="H98" s="19">
        <f t="shared" si="168"/>
        <v>45840</v>
      </c>
      <c r="I98">
        <v>17</v>
      </c>
      <c r="J98" t="s">
        <v>360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D99" s="2" t="s">
        <v>224</v>
      </c>
      <c r="E99" s="2" t="s">
        <v>224</v>
      </c>
      <c r="F99" s="18">
        <v>45839</v>
      </c>
      <c r="G99" s="2">
        <f t="shared" si="167"/>
        <v>31</v>
      </c>
      <c r="H99" s="19">
        <f t="shared" si="168"/>
        <v>45841</v>
      </c>
      <c r="I99">
        <v>17</v>
      </c>
      <c r="J99" t="s">
        <v>360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D100" s="2" t="s">
        <v>224</v>
      </c>
      <c r="E100" s="2" t="s">
        <v>224</v>
      </c>
      <c r="F100" s="18">
        <v>45839</v>
      </c>
      <c r="G100" s="2">
        <f t="shared" si="167"/>
        <v>31</v>
      </c>
      <c r="H100" s="19">
        <f t="shared" si="168"/>
        <v>45842</v>
      </c>
      <c r="I100">
        <v>17</v>
      </c>
      <c r="J100" t="s">
        <v>360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D101" s="2" t="s">
        <v>224</v>
      </c>
      <c r="E101" s="2" t="s">
        <v>224</v>
      </c>
      <c r="F101" s="18">
        <v>45839</v>
      </c>
      <c r="G101" s="2">
        <f t="shared" si="167"/>
        <v>31</v>
      </c>
      <c r="H101" s="19">
        <f t="shared" si="168"/>
        <v>45843</v>
      </c>
      <c r="I101">
        <v>17</v>
      </c>
      <c r="J101" t="s">
        <v>360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D102" s="2" t="s">
        <v>224</v>
      </c>
      <c r="E102" s="2" t="s">
        <v>224</v>
      </c>
      <c r="F102" s="18">
        <v>45839</v>
      </c>
      <c r="G102" s="2">
        <f t="shared" si="167"/>
        <v>31</v>
      </c>
      <c r="H102" s="19">
        <f t="shared" si="168"/>
        <v>45844</v>
      </c>
      <c r="I102">
        <v>17</v>
      </c>
      <c r="J102" t="s">
        <v>360</v>
      </c>
      <c r="Q102" s="2">
        <f>SUM(MC[[#This Row],[IC1_Inv1_MC]:[IC2_Inv2_MC]])</f>
        <v>0</v>
      </c>
    </row>
    <row r="103" spans="1:17">
      <c r="A103" s="2">
        <f t="shared" si="6"/>
        <v>101</v>
      </c>
      <c r="B103" s="156">
        <f t="shared" ref="B103" si="174">YEAR(H103)+IF(MONTH(H103)&gt;=4,1,0)</f>
        <v>2026</v>
      </c>
      <c r="C103" s="2">
        <f t="shared" ref="C103" si="175">YEAR(H103)</f>
        <v>2025</v>
      </c>
      <c r="D103" s="2" t="s">
        <v>224</v>
      </c>
      <c r="E103" s="2" t="s">
        <v>224</v>
      </c>
      <c r="F103" s="18">
        <v>45839</v>
      </c>
      <c r="G103" s="2">
        <f t="shared" ref="G103" si="176">DAY(EOMONTH(F103,0))</f>
        <v>31</v>
      </c>
      <c r="H103" s="19">
        <f t="shared" si="168"/>
        <v>45845</v>
      </c>
      <c r="I103">
        <v>17</v>
      </c>
      <c r="J103" t="s">
        <v>360</v>
      </c>
      <c r="Q103" s="2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I96" activePane="bottomRight" state="frozen"/>
      <selection pane="topRight" activeCell="I2" sqref="I2"/>
      <selection pane="bottomLeft" activeCell="A3" sqref="A3"/>
      <selection pane="bottomRight" activeCell="K109" sqref="K109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511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511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511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511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511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511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511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517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517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517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518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519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M94">
        <v>15</v>
      </c>
      <c r="N94">
        <v>9</v>
      </c>
      <c r="Q94" s="2">
        <f>SUM(GC[[#This Row],[IC1_Inv1_GC]:[IC2_Inv2_GC]])</f>
        <v>24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K96">
        <v>11</v>
      </c>
      <c r="L96">
        <v>32</v>
      </c>
      <c r="Q96" s="2">
        <f>SUM(GC[[#This Row],[IC1_Inv1_GC]:[IC2_Inv2_GC]])</f>
        <v>43</v>
      </c>
    </row>
    <row r="97" spans="1:18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 t="s">
        <v>155</v>
      </c>
      <c r="E97" s="2" t="s">
        <v>155</v>
      </c>
      <c r="F97" s="18">
        <v>45839</v>
      </c>
      <c r="G97" s="2"/>
      <c r="H97" s="19">
        <f t="shared" si="9"/>
        <v>45839</v>
      </c>
      <c r="L97">
        <v>30</v>
      </c>
      <c r="Q97" s="2">
        <f>SUM(GC[[#This Row],[IC1_Inv1_GC]:[IC2_Inv2_GC]])</f>
        <v>30</v>
      </c>
      <c r="R97" t="s">
        <v>521</v>
      </c>
    </row>
    <row r="98" spans="1:18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 t="s">
        <v>155</v>
      </c>
      <c r="E98" s="2" t="s">
        <v>155</v>
      </c>
      <c r="F98" s="18">
        <v>45839</v>
      </c>
      <c r="G98" s="2"/>
      <c r="H98" s="19">
        <f t="shared" si="9"/>
        <v>45840</v>
      </c>
      <c r="K98">
        <v>19</v>
      </c>
      <c r="L98">
        <v>27</v>
      </c>
      <c r="Q98" s="2">
        <f>SUM(GC[[#This Row],[IC1_Inv1_GC]:[IC2_Inv2_GC]])</f>
        <v>46</v>
      </c>
      <c r="R98" t="s">
        <v>522</v>
      </c>
    </row>
    <row r="99" spans="1:18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 t="s">
        <v>155</v>
      </c>
      <c r="E99" s="2" t="s">
        <v>155</v>
      </c>
      <c r="F99" s="18">
        <v>45839</v>
      </c>
      <c r="G99" s="2"/>
      <c r="H99" s="19">
        <f t="shared" si="9"/>
        <v>45841</v>
      </c>
      <c r="L99">
        <v>36</v>
      </c>
      <c r="Q99" s="2">
        <f>SUM(GC[[#This Row],[IC1_Inv1_GC]:[IC2_Inv2_GC]])</f>
        <v>36</v>
      </c>
      <c r="R99" t="s">
        <v>522</v>
      </c>
    </row>
    <row r="100" spans="1:18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 t="s">
        <v>155</v>
      </c>
      <c r="E100" s="2" t="s">
        <v>155</v>
      </c>
      <c r="F100" s="18">
        <v>45839</v>
      </c>
      <c r="G100" s="2"/>
      <c r="H100" s="19">
        <f t="shared" si="9"/>
        <v>45842</v>
      </c>
      <c r="L100">
        <v>30</v>
      </c>
      <c r="M100">
        <v>6</v>
      </c>
      <c r="Q100" s="2">
        <f>SUM(GC[[#This Row],[IC1_Inv1_GC]:[IC2_Inv2_GC]])</f>
        <v>36</v>
      </c>
      <c r="R100" t="s">
        <v>522</v>
      </c>
    </row>
    <row r="101" spans="1:18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 t="s">
        <v>155</v>
      </c>
      <c r="E101" s="2" t="s">
        <v>155</v>
      </c>
      <c r="F101" s="18">
        <v>45839</v>
      </c>
      <c r="G101" s="2"/>
      <c r="H101" s="19">
        <f t="shared" si="9"/>
        <v>45843</v>
      </c>
      <c r="M101">
        <v>18</v>
      </c>
      <c r="O101">
        <v>4</v>
      </c>
      <c r="Q101" s="2">
        <f>SUM(GC[[#This Row],[IC1_Inv1_GC]:[IC2_Inv2_GC]])</f>
        <v>22</v>
      </c>
      <c r="R101" t="s">
        <v>523</v>
      </c>
    </row>
    <row r="102" spans="1:18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 t="s">
        <v>155</v>
      </c>
      <c r="E102" s="2" t="s">
        <v>155</v>
      </c>
      <c r="F102" s="18">
        <v>45839</v>
      </c>
      <c r="G102" s="2"/>
      <c r="H102" s="19">
        <f t="shared" si="9"/>
        <v>45844</v>
      </c>
      <c r="Q102" s="2">
        <f>SUM(GC[[#This Row],[IC1_Inv1_GC]:[IC2_Inv2_GC]])</f>
        <v>0</v>
      </c>
      <c r="R102" t="s">
        <v>523</v>
      </c>
    </row>
    <row r="103" spans="1:18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 t="s">
        <v>155</v>
      </c>
      <c r="E103" s="2" t="s">
        <v>155</v>
      </c>
      <c r="F103" s="18">
        <v>45839</v>
      </c>
      <c r="G103" s="2"/>
      <c r="H103" s="19">
        <f t="shared" si="9"/>
        <v>45845</v>
      </c>
      <c r="P103">
        <v>32</v>
      </c>
      <c r="Q103" s="2">
        <f>SUM(GC[[#This Row],[IC1_Inv1_GC]:[IC2_Inv2_GC]])</f>
        <v>32</v>
      </c>
      <c r="R103" t="s">
        <v>524</v>
      </c>
    </row>
    <row r="104" spans="1:18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 t="s">
        <v>155</v>
      </c>
      <c r="E104" s="2" t="s">
        <v>155</v>
      </c>
      <c r="F104" s="18">
        <v>45839</v>
      </c>
      <c r="G104" s="2"/>
      <c r="H104" s="19">
        <f t="shared" si="9"/>
        <v>45846</v>
      </c>
      <c r="P104">
        <v>32</v>
      </c>
      <c r="Q104" s="2">
        <f>SUM(GC[[#This Row],[IC1_Inv1_GC]:[IC2_Inv2_GC]])</f>
        <v>32</v>
      </c>
      <c r="R104" t="s">
        <v>524</v>
      </c>
    </row>
    <row r="105" spans="1:18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 t="s">
        <v>155</v>
      </c>
      <c r="E105" s="2" t="s">
        <v>155</v>
      </c>
      <c r="F105" s="18">
        <v>45839</v>
      </c>
      <c r="G105" s="2"/>
      <c r="H105" s="19">
        <f t="shared" si="9"/>
        <v>45847</v>
      </c>
      <c r="Q105" s="2">
        <f>SUM(GC[[#This Row],[IC1_Inv1_GC]:[IC2_Inv2_GC]])</f>
        <v>0</v>
      </c>
    </row>
    <row r="106" spans="1:18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 t="s">
        <v>155</v>
      </c>
      <c r="E106" s="2" t="s">
        <v>155</v>
      </c>
      <c r="F106" s="18">
        <v>45839</v>
      </c>
      <c r="G106" s="2"/>
      <c r="H106" s="19">
        <f t="shared" si="9"/>
        <v>45848</v>
      </c>
      <c r="K106">
        <v>24</v>
      </c>
      <c r="P106">
        <v>8</v>
      </c>
      <c r="Q106" s="2">
        <f>SUM(GC[[#This Row],[IC1_Inv1_GC]:[IC2_Inv2_GC]])</f>
        <v>32</v>
      </c>
      <c r="R106" t="s">
        <v>525</v>
      </c>
    </row>
    <row r="107" spans="1:18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 t="s">
        <v>155</v>
      </c>
      <c r="E107" s="2" t="s">
        <v>155</v>
      </c>
      <c r="F107" s="18">
        <v>45839</v>
      </c>
      <c r="G107" s="2"/>
      <c r="H107" s="19">
        <f t="shared" si="9"/>
        <v>45849</v>
      </c>
      <c r="K107">
        <v>28</v>
      </c>
      <c r="Q107" s="2">
        <f>SUM(GC[[#This Row],[IC1_Inv1_GC]:[IC2_Inv2_GC]])</f>
        <v>28</v>
      </c>
      <c r="R107" t="s">
        <v>525</v>
      </c>
    </row>
    <row r="108" spans="1:18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 t="s">
        <v>155</v>
      </c>
      <c r="E108" s="2" t="s">
        <v>155</v>
      </c>
      <c r="F108" s="18">
        <v>45839</v>
      </c>
      <c r="G108" s="2"/>
      <c r="H108" s="19">
        <f t="shared" ref="H108:H139" si="12">H107+1</f>
        <v>45850</v>
      </c>
      <c r="K108">
        <v>8</v>
      </c>
      <c r="P108">
        <v>15</v>
      </c>
      <c r="Q108" s="2">
        <f>SUM(GC[[#This Row],[IC1_Inv1_GC]:[IC2_Inv2_GC]])</f>
        <v>23</v>
      </c>
      <c r="R108" t="s">
        <v>525</v>
      </c>
    </row>
    <row r="109" spans="1:18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 t="s">
        <v>155</v>
      </c>
      <c r="E109" s="2" t="s">
        <v>155</v>
      </c>
      <c r="F109" s="18">
        <v>45839</v>
      </c>
      <c r="G109" s="2"/>
      <c r="H109" s="19">
        <f t="shared" si="12"/>
        <v>45851</v>
      </c>
      <c r="Q109" s="2">
        <f>SUM(GC[[#This Row],[IC1_Inv1_GC]:[IC2_Inv2_GC]])</f>
        <v>0</v>
      </c>
    </row>
    <row r="110" spans="1:18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 t="s">
        <v>155</v>
      </c>
      <c r="E110" s="2" t="s">
        <v>155</v>
      </c>
      <c r="F110" s="18">
        <v>45839</v>
      </c>
      <c r="G110" s="2"/>
      <c r="H110" s="19">
        <f t="shared" si="12"/>
        <v>45852</v>
      </c>
      <c r="Q110" s="2">
        <f>SUM(GC[[#This Row],[IC1_Inv1_GC]:[IC2_Inv2_GC]])</f>
        <v>0</v>
      </c>
    </row>
    <row r="111" spans="1:18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8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4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2025-07-13T18:11:22Z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